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0" yWindow="0" windowWidth="9600" windowHeight="3324" tabRatio="500"/>
  </bookViews>
  <sheets>
    <sheet name="Sheet1" sheetId="1" r:id="rId1"/>
  </sheets>
  <definedNames>
    <definedName name="discountrate">Sheet1!$D$13</definedName>
    <definedName name="solver_adj" localSheetId="0" hidden="1">Sheet1!$D$85</definedName>
    <definedName name="solver_cvg" localSheetId="0" hidden="1">0.0001</definedName>
    <definedName name="solver_drv" localSheetId="0" hidden="1">1</definedName>
    <definedName name="solver_eng" localSheetId="0" hidden="1">3</definedName>
    <definedName name="solver_itr" localSheetId="0" hidden="1">2147483647</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opt" localSheetId="0" hidden="1">Sheet1!$D$102</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0.7</definedName>
    <definedName name="solver_ver" localSheetId="0" hidden="1">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117" i="1" l="1"/>
  <c r="E116" i="1"/>
  <c r="F116" i="1"/>
  <c r="G116" i="1"/>
  <c r="H116" i="1"/>
  <c r="I116" i="1"/>
  <c r="J116" i="1"/>
  <c r="K116" i="1"/>
  <c r="L116" i="1"/>
  <c r="M116" i="1"/>
  <c r="N116" i="1"/>
  <c r="O116" i="1"/>
  <c r="P116" i="1"/>
  <c r="Q116" i="1"/>
  <c r="R116" i="1"/>
  <c r="S116" i="1"/>
  <c r="T116" i="1"/>
  <c r="U116" i="1"/>
  <c r="V116" i="1"/>
  <c r="W116" i="1"/>
  <c r="X116" i="1"/>
  <c r="Y116" i="1"/>
  <c r="Z116" i="1"/>
  <c r="AA116" i="1"/>
  <c r="AB116" i="1"/>
  <c r="AC116" i="1"/>
  <c r="AD116" i="1"/>
  <c r="AE116" i="1"/>
  <c r="AF116" i="1"/>
  <c r="AG116" i="1"/>
  <c r="AH116" i="1"/>
  <c r="AI116" i="1"/>
  <c r="AJ116" i="1"/>
  <c r="AK116" i="1"/>
  <c r="AL116" i="1"/>
  <c r="AM116" i="1"/>
  <c r="AN116" i="1"/>
  <c r="AO116" i="1"/>
  <c r="AP116" i="1"/>
  <c r="AQ116" i="1"/>
  <c r="D116" i="1"/>
  <c r="E115" i="1"/>
  <c r="F115" i="1"/>
  <c r="G115" i="1"/>
  <c r="H115" i="1"/>
  <c r="I115" i="1"/>
  <c r="J115" i="1"/>
  <c r="K115" i="1"/>
  <c r="L115" i="1"/>
  <c r="M115" i="1"/>
  <c r="N115" i="1"/>
  <c r="O115" i="1"/>
  <c r="P115" i="1"/>
  <c r="Q115" i="1"/>
  <c r="R115" i="1"/>
  <c r="S115" i="1"/>
  <c r="T115" i="1"/>
  <c r="U115" i="1"/>
  <c r="V115" i="1"/>
  <c r="W115" i="1"/>
  <c r="X115" i="1"/>
  <c r="Y115" i="1"/>
  <c r="Z115" i="1"/>
  <c r="AA115" i="1"/>
  <c r="AB115" i="1"/>
  <c r="AC115" i="1"/>
  <c r="AD115" i="1"/>
  <c r="AE115" i="1"/>
  <c r="AF115" i="1"/>
  <c r="AG115" i="1"/>
  <c r="AH115" i="1"/>
  <c r="AI115" i="1"/>
  <c r="AJ115" i="1"/>
  <c r="AK115" i="1"/>
  <c r="AL115" i="1"/>
  <c r="AM115" i="1"/>
  <c r="AN115" i="1"/>
  <c r="AO115" i="1"/>
  <c r="AP115" i="1"/>
  <c r="AQ115" i="1"/>
  <c r="D115" i="1"/>
  <c r="F98" i="1"/>
  <c r="F101" i="1"/>
  <c r="G98" i="1"/>
  <c r="G101" i="1"/>
  <c r="H98" i="1"/>
  <c r="H101" i="1"/>
  <c r="I98" i="1"/>
  <c r="I101" i="1"/>
  <c r="J98" i="1"/>
  <c r="J101" i="1"/>
  <c r="K98" i="1"/>
  <c r="K101" i="1"/>
  <c r="L98" i="1"/>
  <c r="L101" i="1"/>
  <c r="M98" i="1"/>
  <c r="M101" i="1"/>
  <c r="N98" i="1"/>
  <c r="N101" i="1"/>
  <c r="O98" i="1"/>
  <c r="O101" i="1"/>
  <c r="P98" i="1"/>
  <c r="P101" i="1"/>
  <c r="Q98" i="1"/>
  <c r="Q101" i="1"/>
  <c r="R98" i="1"/>
  <c r="R101" i="1"/>
  <c r="S98" i="1"/>
  <c r="S101" i="1"/>
  <c r="T98" i="1"/>
  <c r="T101" i="1"/>
  <c r="D13" i="1"/>
  <c r="D120" i="1"/>
  <c r="D121" i="1"/>
  <c r="D122" i="1"/>
  <c r="D123" i="1"/>
  <c r="D124" i="1"/>
  <c r="D125" i="1"/>
  <c r="D85" i="1"/>
  <c r="D86" i="1"/>
  <c r="D87" i="1"/>
  <c r="D96" i="1"/>
  <c r="D126" i="1"/>
  <c r="D16" i="1"/>
  <c r="D17" i="1"/>
  <c r="E16" i="1"/>
  <c r="E17" i="1"/>
  <c r="F16" i="1"/>
  <c r="F17" i="1"/>
  <c r="G16" i="1"/>
  <c r="G17" i="1"/>
  <c r="H16" i="1"/>
  <c r="H17" i="1"/>
  <c r="I16" i="1"/>
  <c r="I17" i="1"/>
  <c r="J16" i="1"/>
  <c r="J17" i="1"/>
  <c r="K16" i="1"/>
  <c r="K17" i="1"/>
  <c r="L16" i="1"/>
  <c r="L17" i="1"/>
  <c r="M16" i="1"/>
  <c r="M17" i="1"/>
  <c r="N16" i="1"/>
  <c r="N17" i="1"/>
  <c r="D18" i="1"/>
  <c r="D5" i="1"/>
  <c r="D21" i="1"/>
  <c r="D22" i="1"/>
  <c r="D28" i="1"/>
  <c r="E18" i="1"/>
  <c r="E21" i="1"/>
  <c r="E22" i="1"/>
  <c r="E24" i="1"/>
  <c r="E26" i="1"/>
  <c r="E28" i="1"/>
  <c r="F18" i="1"/>
  <c r="F21" i="1"/>
  <c r="F22" i="1"/>
  <c r="F24" i="1"/>
  <c r="F26" i="1"/>
  <c r="F28" i="1"/>
  <c r="G18" i="1"/>
  <c r="G21" i="1"/>
  <c r="G22" i="1"/>
  <c r="G24" i="1"/>
  <c r="G26" i="1"/>
  <c r="G28" i="1"/>
  <c r="H18" i="1"/>
  <c r="H21" i="1"/>
  <c r="H22" i="1"/>
  <c r="H24" i="1"/>
  <c r="H26" i="1"/>
  <c r="H28" i="1"/>
  <c r="I18" i="1"/>
  <c r="I21" i="1"/>
  <c r="I22" i="1"/>
  <c r="I24" i="1"/>
  <c r="I26" i="1"/>
  <c r="I28" i="1"/>
  <c r="J18" i="1"/>
  <c r="J21" i="1"/>
  <c r="J22" i="1"/>
  <c r="J24" i="1"/>
  <c r="J26" i="1"/>
  <c r="J28" i="1"/>
  <c r="K18" i="1"/>
  <c r="K21" i="1"/>
  <c r="K22" i="1"/>
  <c r="K24" i="1"/>
  <c r="K26" i="1"/>
  <c r="K28" i="1"/>
  <c r="L18" i="1"/>
  <c r="L21" i="1"/>
  <c r="L22" i="1"/>
  <c r="L24" i="1"/>
  <c r="L26" i="1"/>
  <c r="L28" i="1"/>
  <c r="M18" i="1"/>
  <c r="M21" i="1"/>
  <c r="M22" i="1"/>
  <c r="M24" i="1"/>
  <c r="M26" i="1"/>
  <c r="M28" i="1"/>
  <c r="N18" i="1"/>
  <c r="N21" i="1"/>
  <c r="N22" i="1"/>
  <c r="N24" i="1"/>
  <c r="N26" i="1"/>
  <c r="N28" i="1"/>
  <c r="Q28" i="1"/>
  <c r="D62" i="1"/>
  <c r="D64" i="1"/>
  <c r="D98" i="1"/>
  <c r="E98" i="1"/>
  <c r="E122" i="1"/>
  <c r="F122" i="1"/>
  <c r="G122" i="1"/>
  <c r="H122" i="1"/>
  <c r="I122" i="1"/>
  <c r="J122" i="1"/>
  <c r="K122" i="1"/>
  <c r="L122" i="1"/>
  <c r="M122" i="1"/>
  <c r="N122" i="1"/>
  <c r="O122" i="1"/>
  <c r="P122" i="1"/>
  <c r="Q122" i="1"/>
  <c r="R122" i="1"/>
  <c r="S122" i="1"/>
  <c r="T122" i="1"/>
  <c r="U122" i="1"/>
  <c r="V122" i="1"/>
  <c r="W122" i="1"/>
  <c r="X122" i="1"/>
  <c r="Y122" i="1"/>
  <c r="Z122" i="1"/>
  <c r="AA122" i="1"/>
  <c r="AB122" i="1"/>
  <c r="AC122" i="1"/>
  <c r="AD122" i="1"/>
  <c r="AE122" i="1"/>
  <c r="AF122" i="1"/>
  <c r="AG122" i="1"/>
  <c r="AH122" i="1"/>
  <c r="AI122" i="1"/>
  <c r="AJ122" i="1"/>
  <c r="AK122" i="1"/>
  <c r="AL122" i="1"/>
  <c r="AM122" i="1"/>
  <c r="AN122" i="1"/>
  <c r="AO122" i="1"/>
  <c r="AP122" i="1"/>
  <c r="AQ122" i="1"/>
  <c r="D68" i="1"/>
  <c r="D82" i="1"/>
  <c r="E85" i="1"/>
  <c r="F85" i="1"/>
  <c r="G85" i="1"/>
  <c r="H85" i="1"/>
  <c r="I85" i="1"/>
  <c r="J85" i="1"/>
  <c r="K85" i="1"/>
  <c r="L85" i="1"/>
  <c r="M85" i="1"/>
  <c r="N85" i="1"/>
  <c r="O85" i="1"/>
  <c r="P85" i="1"/>
  <c r="Q85" i="1"/>
  <c r="R85" i="1"/>
  <c r="S85" i="1"/>
  <c r="T85" i="1"/>
  <c r="U85" i="1"/>
  <c r="V85" i="1"/>
  <c r="W85" i="1"/>
  <c r="X85" i="1"/>
  <c r="Y85" i="1"/>
  <c r="Z85" i="1"/>
  <c r="AA85" i="1"/>
  <c r="AB85" i="1"/>
  <c r="AC85" i="1"/>
  <c r="AD85" i="1"/>
  <c r="AE85" i="1"/>
  <c r="AF85" i="1"/>
  <c r="AG85" i="1"/>
  <c r="AH85" i="1"/>
  <c r="AI85" i="1"/>
  <c r="AJ85" i="1"/>
  <c r="AK85" i="1"/>
  <c r="AL85" i="1"/>
  <c r="AM85" i="1"/>
  <c r="AN85" i="1"/>
  <c r="AO85" i="1"/>
  <c r="AP85" i="1"/>
  <c r="AQ85" i="1"/>
  <c r="D38" i="1"/>
  <c r="D46" i="1"/>
  <c r="D48" i="1"/>
  <c r="D44" i="1"/>
  <c r="D47" i="1"/>
  <c r="D50" i="1"/>
  <c r="D57" i="1"/>
  <c r="D59" i="1"/>
  <c r="D84" i="1"/>
  <c r="D93" i="1"/>
  <c r="E84" i="1"/>
  <c r="F84" i="1"/>
  <c r="G84" i="1"/>
  <c r="H84" i="1"/>
  <c r="I84" i="1"/>
  <c r="J84"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E82" i="1"/>
  <c r="F82"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M82" i="1"/>
  <c r="AN82" i="1"/>
  <c r="AO82" i="1"/>
  <c r="AP82" i="1"/>
  <c r="AQ82" i="1"/>
  <c r="D73" i="1"/>
  <c r="D74" i="1"/>
  <c r="E93" i="1"/>
  <c r="E124" i="1"/>
  <c r="F93" i="1"/>
  <c r="G93" i="1"/>
  <c r="AQ86" i="1"/>
  <c r="D83" i="1"/>
  <c r="E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Q87" i="1"/>
  <c r="AQ96" i="1"/>
  <c r="AQ126" i="1"/>
  <c r="AP86" i="1"/>
  <c r="AP87" i="1"/>
  <c r="AP96" i="1"/>
  <c r="AP126" i="1"/>
  <c r="AO86" i="1"/>
  <c r="AO87" i="1"/>
  <c r="AO96" i="1"/>
  <c r="AO126" i="1"/>
  <c r="AN86" i="1"/>
  <c r="AN87" i="1"/>
  <c r="AN96" i="1"/>
  <c r="AN126" i="1"/>
  <c r="AM86" i="1"/>
  <c r="AM87" i="1"/>
  <c r="AM96" i="1"/>
  <c r="AM126" i="1"/>
  <c r="AL86" i="1"/>
  <c r="AL87" i="1"/>
  <c r="AL96" i="1"/>
  <c r="AL126" i="1"/>
  <c r="AK86" i="1"/>
  <c r="AK87" i="1"/>
  <c r="AK96" i="1"/>
  <c r="AK126" i="1"/>
  <c r="AJ86" i="1"/>
  <c r="AJ87" i="1"/>
  <c r="AJ96" i="1"/>
  <c r="AJ126" i="1"/>
  <c r="AI86" i="1"/>
  <c r="AI87" i="1"/>
  <c r="AI96" i="1"/>
  <c r="AI126" i="1"/>
  <c r="AH86" i="1"/>
  <c r="AH87" i="1"/>
  <c r="AH96" i="1"/>
  <c r="AH126" i="1"/>
  <c r="AG86" i="1"/>
  <c r="AG87" i="1"/>
  <c r="AG96" i="1"/>
  <c r="AG126" i="1"/>
  <c r="AF86" i="1"/>
  <c r="AF87" i="1"/>
  <c r="AF96" i="1"/>
  <c r="AF126" i="1"/>
  <c r="AE86" i="1"/>
  <c r="AE87" i="1"/>
  <c r="AE96" i="1"/>
  <c r="AE126" i="1"/>
  <c r="AD86" i="1"/>
  <c r="AD87" i="1"/>
  <c r="AD96" i="1"/>
  <c r="AD126" i="1"/>
  <c r="AC86" i="1"/>
  <c r="AC87" i="1"/>
  <c r="AC96" i="1"/>
  <c r="AC126" i="1"/>
  <c r="AB86" i="1"/>
  <c r="AB87" i="1"/>
  <c r="AB96" i="1"/>
  <c r="AB126" i="1"/>
  <c r="AA86" i="1"/>
  <c r="AA87" i="1"/>
  <c r="AA96" i="1"/>
  <c r="AA126" i="1"/>
  <c r="Z86" i="1"/>
  <c r="Z87" i="1"/>
  <c r="Z96" i="1"/>
  <c r="Z126" i="1"/>
  <c r="Y86" i="1"/>
  <c r="Y87" i="1"/>
  <c r="Y96" i="1"/>
  <c r="Y126" i="1"/>
  <c r="X86" i="1"/>
  <c r="X87" i="1"/>
  <c r="X96" i="1"/>
  <c r="X126" i="1"/>
  <c r="W86" i="1"/>
  <c r="W87" i="1"/>
  <c r="W96" i="1"/>
  <c r="W126" i="1"/>
  <c r="V86" i="1"/>
  <c r="V87" i="1"/>
  <c r="V96" i="1"/>
  <c r="V126" i="1"/>
  <c r="U86" i="1"/>
  <c r="U87" i="1"/>
  <c r="U96" i="1"/>
  <c r="U126" i="1"/>
  <c r="T86" i="1"/>
  <c r="T87" i="1"/>
  <c r="T96" i="1"/>
  <c r="T126" i="1"/>
  <c r="S86" i="1"/>
  <c r="S87" i="1"/>
  <c r="S96" i="1"/>
  <c r="S126" i="1"/>
  <c r="R86" i="1"/>
  <c r="R87" i="1"/>
  <c r="R96" i="1"/>
  <c r="R126" i="1"/>
  <c r="Q86" i="1"/>
  <c r="Q87" i="1"/>
  <c r="Q96" i="1"/>
  <c r="Q126" i="1"/>
  <c r="P86" i="1"/>
  <c r="P87" i="1"/>
  <c r="P96" i="1"/>
  <c r="P126" i="1"/>
  <c r="O86" i="1"/>
  <c r="O87" i="1"/>
  <c r="O96" i="1"/>
  <c r="O126" i="1"/>
  <c r="N86" i="1"/>
  <c r="N87" i="1"/>
  <c r="N96" i="1"/>
  <c r="N126" i="1"/>
  <c r="M86" i="1"/>
  <c r="M87" i="1"/>
  <c r="M96" i="1"/>
  <c r="M126" i="1"/>
  <c r="L86" i="1"/>
  <c r="L87" i="1"/>
  <c r="L96" i="1"/>
  <c r="L126" i="1"/>
  <c r="K86" i="1"/>
  <c r="K87" i="1"/>
  <c r="K96" i="1"/>
  <c r="K126" i="1"/>
  <c r="J86" i="1"/>
  <c r="J87" i="1"/>
  <c r="J96" i="1"/>
  <c r="J126" i="1"/>
  <c r="I86" i="1"/>
  <c r="I87" i="1"/>
  <c r="I96" i="1"/>
  <c r="I126" i="1"/>
  <c r="H86" i="1"/>
  <c r="H87" i="1"/>
  <c r="H96" i="1"/>
  <c r="H126" i="1"/>
  <c r="G86" i="1"/>
  <c r="G87" i="1"/>
  <c r="G96" i="1"/>
  <c r="G126" i="1"/>
  <c r="F86" i="1"/>
  <c r="F87" i="1"/>
  <c r="F96" i="1"/>
  <c r="F126"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R94" i="1"/>
  <c r="R125" i="1"/>
  <c r="Q94" i="1"/>
  <c r="Q125" i="1"/>
  <c r="P94" i="1"/>
  <c r="P125" i="1"/>
  <c r="O94" i="1"/>
  <c r="O125" i="1"/>
  <c r="N94" i="1"/>
  <c r="N125" i="1"/>
  <c r="M94" i="1"/>
  <c r="M125" i="1"/>
  <c r="L94" i="1"/>
  <c r="L125" i="1"/>
  <c r="K94" i="1"/>
  <c r="K125" i="1"/>
  <c r="J94" i="1"/>
  <c r="J125" i="1"/>
  <c r="I94" i="1"/>
  <c r="I125" i="1"/>
  <c r="H94" i="1"/>
  <c r="H125" i="1"/>
  <c r="G94" i="1"/>
  <c r="G125" i="1"/>
  <c r="F94" i="1"/>
  <c r="F125" i="1"/>
  <c r="F124" i="1"/>
  <c r="D99" i="1"/>
  <c r="E99" i="1"/>
  <c r="F99" i="1"/>
  <c r="G99" i="1"/>
  <c r="H99" i="1"/>
  <c r="I99" i="1"/>
  <c r="J99" i="1"/>
  <c r="K99" i="1"/>
  <c r="L99" i="1"/>
  <c r="M99" i="1"/>
  <c r="N99" i="1"/>
  <c r="O99" i="1"/>
  <c r="P99" i="1"/>
  <c r="Q99" i="1"/>
  <c r="R99" i="1"/>
  <c r="S99" i="1"/>
  <c r="T99" i="1"/>
  <c r="U99" i="1"/>
  <c r="V99" i="1"/>
  <c r="W99" i="1"/>
  <c r="X99" i="1"/>
  <c r="Y99" i="1"/>
  <c r="Z99" i="1"/>
  <c r="AA99" i="1"/>
  <c r="AB99" i="1"/>
  <c r="AC99" i="1"/>
  <c r="AD99" i="1"/>
  <c r="AE99" i="1"/>
  <c r="AF99" i="1"/>
  <c r="AG99" i="1"/>
  <c r="AH99" i="1"/>
  <c r="AI99" i="1"/>
  <c r="AJ99" i="1"/>
  <c r="AK99" i="1"/>
  <c r="AL99" i="1"/>
  <c r="AM99" i="1"/>
  <c r="AN99" i="1"/>
  <c r="AO99" i="1"/>
  <c r="AP99" i="1"/>
  <c r="AQ99"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AQ121"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Q26" i="1"/>
  <c r="K95" i="1"/>
  <c r="K121" i="1"/>
  <c r="J95" i="1"/>
  <c r="J121" i="1"/>
  <c r="I95" i="1"/>
  <c r="I121" i="1"/>
  <c r="H95" i="1"/>
  <c r="H121" i="1"/>
  <c r="G95" i="1"/>
  <c r="G121" i="1"/>
  <c r="F95" i="1"/>
  <c r="F121" i="1"/>
  <c r="E86" i="1"/>
  <c r="E87" i="1"/>
  <c r="E96" i="1"/>
  <c r="E94" i="1"/>
  <c r="E125" i="1"/>
  <c r="E123" i="1"/>
  <c r="E95" i="1"/>
  <c r="E121" i="1"/>
  <c r="D94" i="1"/>
  <c r="D95" i="1"/>
  <c r="D25" i="1"/>
  <c r="E25" i="1"/>
  <c r="F25" i="1"/>
  <c r="G25" i="1"/>
  <c r="H25" i="1"/>
  <c r="Q25" i="1"/>
  <c r="AQ92" i="1"/>
  <c r="AQ120" i="1"/>
  <c r="AP92" i="1"/>
  <c r="AP120" i="1"/>
  <c r="AO92" i="1"/>
  <c r="AO120" i="1"/>
  <c r="AN92" i="1"/>
  <c r="AN120" i="1"/>
  <c r="AM92" i="1"/>
  <c r="AM120" i="1"/>
  <c r="AL92" i="1"/>
  <c r="AL120" i="1"/>
  <c r="AK92" i="1"/>
  <c r="AK120" i="1"/>
  <c r="AJ92" i="1"/>
  <c r="AJ120" i="1"/>
  <c r="AI92" i="1"/>
  <c r="AI120" i="1"/>
  <c r="AH92" i="1"/>
  <c r="AH120" i="1"/>
  <c r="AG92" i="1"/>
  <c r="AG120" i="1"/>
  <c r="AF92" i="1"/>
  <c r="AF120" i="1"/>
  <c r="AE92" i="1"/>
  <c r="AE120" i="1"/>
  <c r="AD92" i="1"/>
  <c r="AD120" i="1"/>
  <c r="AC92" i="1"/>
  <c r="AC120" i="1"/>
  <c r="AB92" i="1"/>
  <c r="AB120" i="1"/>
  <c r="AA92" i="1"/>
  <c r="AA120" i="1"/>
  <c r="Z92" i="1"/>
  <c r="Z120" i="1"/>
  <c r="Y92" i="1"/>
  <c r="Y120" i="1"/>
  <c r="X92" i="1"/>
  <c r="X120" i="1"/>
  <c r="W92" i="1"/>
  <c r="W120" i="1"/>
  <c r="V92" i="1"/>
  <c r="V120" i="1"/>
  <c r="U92" i="1"/>
  <c r="U120" i="1"/>
  <c r="T92" i="1"/>
  <c r="T120" i="1"/>
  <c r="S92" i="1"/>
  <c r="S120" i="1"/>
  <c r="R92" i="1"/>
  <c r="R120" i="1"/>
  <c r="Q92" i="1"/>
  <c r="Q120" i="1"/>
  <c r="P92" i="1"/>
  <c r="P120" i="1"/>
  <c r="O92" i="1"/>
  <c r="O120" i="1"/>
  <c r="N92" i="1"/>
  <c r="N120" i="1"/>
  <c r="M92" i="1"/>
  <c r="M120" i="1"/>
  <c r="L92" i="1"/>
  <c r="L120" i="1"/>
  <c r="K92" i="1"/>
  <c r="K120" i="1"/>
  <c r="J92" i="1"/>
  <c r="J120" i="1"/>
  <c r="I92" i="1"/>
  <c r="I120" i="1"/>
  <c r="H92" i="1"/>
  <c r="H120" i="1"/>
  <c r="G92" i="1"/>
  <c r="G120" i="1"/>
  <c r="F92" i="1"/>
  <c r="F120" i="1"/>
  <c r="E92" i="1"/>
  <c r="E120" i="1"/>
  <c r="D92"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D97" i="1"/>
  <c r="D35" i="1"/>
  <c r="D37" i="1"/>
  <c r="N29" i="1"/>
  <c r="M29" i="1"/>
  <c r="L29" i="1"/>
  <c r="K29" i="1"/>
  <c r="J29" i="1"/>
  <c r="I29" i="1"/>
  <c r="H29" i="1"/>
  <c r="G29" i="1"/>
  <c r="F29" i="1"/>
  <c r="E29" i="1"/>
  <c r="D29" i="1"/>
  <c r="Q29" i="1"/>
  <c r="N23" i="1"/>
  <c r="M23" i="1"/>
  <c r="L23" i="1"/>
  <c r="K23" i="1"/>
  <c r="J23" i="1"/>
  <c r="I23" i="1"/>
  <c r="H23" i="1"/>
  <c r="G23" i="1"/>
  <c r="F23" i="1"/>
  <c r="E23" i="1"/>
  <c r="D19" i="1"/>
  <c r="E19" i="1"/>
  <c r="F19" i="1"/>
  <c r="G19" i="1"/>
  <c r="H19" i="1"/>
  <c r="I19" i="1"/>
  <c r="J19" i="1"/>
  <c r="K19" i="1"/>
  <c r="L19" i="1"/>
  <c r="M19" i="1"/>
  <c r="N19" i="1"/>
  <c r="D12" i="1"/>
  <c r="H93" i="1"/>
  <c r="G124" i="1"/>
  <c r="E101" i="1"/>
  <c r="E102" i="1"/>
  <c r="E126" i="1"/>
  <c r="G102" i="1"/>
  <c r="F102" i="1"/>
  <c r="D101" i="1"/>
  <c r="D102" i="1"/>
  <c r="H124" i="1"/>
  <c r="H102" i="1"/>
  <c r="I93" i="1"/>
  <c r="I124" i="1"/>
  <c r="J93" i="1"/>
  <c r="I102" i="1"/>
  <c r="K93" i="1"/>
  <c r="J124" i="1"/>
  <c r="J102" i="1"/>
  <c r="L93" i="1"/>
  <c r="K124" i="1"/>
  <c r="K102" i="1"/>
  <c r="L102" i="1"/>
  <c r="L124" i="1"/>
  <c r="M93" i="1"/>
  <c r="M124" i="1"/>
  <c r="N93" i="1"/>
  <c r="M102" i="1"/>
  <c r="O93" i="1"/>
  <c r="N124" i="1"/>
  <c r="N102" i="1"/>
  <c r="O124" i="1"/>
  <c r="P93" i="1"/>
  <c r="O102" i="1"/>
  <c r="P102" i="1"/>
  <c r="P124" i="1"/>
  <c r="Q93" i="1"/>
  <c r="Q124" i="1"/>
  <c r="R93" i="1"/>
  <c r="Q102" i="1"/>
  <c r="S93" i="1"/>
  <c r="R124" i="1"/>
  <c r="R102" i="1"/>
  <c r="T93" i="1"/>
  <c r="S124" i="1"/>
  <c r="S102" i="1"/>
  <c r="T124" i="1"/>
  <c r="U93" i="1"/>
  <c r="T102" i="1"/>
  <c r="U124" i="1"/>
  <c r="V93" i="1"/>
  <c r="U101" i="1"/>
  <c r="U102" i="1"/>
  <c r="W93" i="1"/>
  <c r="V124" i="1"/>
  <c r="V101" i="1"/>
  <c r="V102" i="1"/>
  <c r="W124" i="1"/>
  <c r="X93" i="1"/>
  <c r="W101" i="1"/>
  <c r="W102" i="1"/>
  <c r="X124" i="1"/>
  <c r="X101" i="1"/>
  <c r="X102" i="1"/>
  <c r="Y93" i="1"/>
  <c r="Y124" i="1"/>
  <c r="Z93" i="1"/>
  <c r="Y101" i="1"/>
  <c r="Y102" i="1"/>
  <c r="AA93" i="1"/>
  <c r="Z124" i="1"/>
  <c r="Z101" i="1"/>
  <c r="Z102" i="1"/>
  <c r="AB93" i="1"/>
  <c r="AA124" i="1"/>
  <c r="AA101" i="1"/>
  <c r="AA102" i="1"/>
  <c r="AB101" i="1"/>
  <c r="AB102" i="1"/>
  <c r="AB124" i="1"/>
  <c r="AC93" i="1"/>
  <c r="AC124" i="1"/>
  <c r="AD93" i="1"/>
  <c r="AC101" i="1"/>
  <c r="AC102" i="1"/>
  <c r="AE93" i="1"/>
  <c r="AD124" i="1"/>
  <c r="AD101" i="1"/>
  <c r="AD102" i="1"/>
  <c r="AE124" i="1"/>
  <c r="AF93" i="1"/>
  <c r="AE101" i="1"/>
  <c r="AE102" i="1"/>
  <c r="AF124" i="1"/>
  <c r="AG93" i="1"/>
  <c r="AF101" i="1"/>
  <c r="AF102" i="1"/>
  <c r="AG124" i="1"/>
  <c r="AH93" i="1"/>
  <c r="AG101" i="1"/>
  <c r="AG102" i="1"/>
  <c r="AI93" i="1"/>
  <c r="AH124" i="1"/>
  <c r="AH101" i="1"/>
  <c r="AH102" i="1"/>
  <c r="AJ93" i="1"/>
  <c r="AI124" i="1"/>
  <c r="AI101" i="1"/>
  <c r="AI102" i="1"/>
  <c r="AJ124" i="1"/>
  <c r="AK93" i="1"/>
  <c r="AJ101" i="1"/>
  <c r="AJ102" i="1"/>
  <c r="AK124" i="1"/>
  <c r="AL93" i="1"/>
  <c r="AK101" i="1"/>
  <c r="AK102" i="1"/>
  <c r="AM93" i="1"/>
  <c r="AL124" i="1"/>
  <c r="AL101" i="1"/>
  <c r="AL102" i="1"/>
  <c r="AN93" i="1"/>
  <c r="AM124" i="1"/>
  <c r="AM101" i="1"/>
  <c r="AM102" i="1"/>
  <c r="AO93" i="1"/>
  <c r="AN124" i="1"/>
  <c r="AN101" i="1"/>
  <c r="AN102" i="1"/>
  <c r="AO124" i="1"/>
  <c r="AP93" i="1"/>
  <c r="AO101" i="1"/>
  <c r="AO102" i="1"/>
  <c r="AQ93" i="1"/>
  <c r="AP124" i="1"/>
  <c r="AP101" i="1"/>
  <c r="AP102" i="1"/>
  <c r="AQ124" i="1"/>
  <c r="AQ101" i="1"/>
  <c r="AQ102" i="1"/>
</calcChain>
</file>

<file path=xl/comments1.xml><?xml version="1.0" encoding="utf-8"?>
<comments xmlns="http://schemas.openxmlformats.org/spreadsheetml/2006/main">
  <authors>
    <author>M.V. Ramana</author>
  </authors>
  <commentList>
    <comment ref="D85" authorId="0">
      <text>
        <r>
          <rPr>
            <b/>
            <sz val="9"/>
            <color indexed="81"/>
            <rFont val="Calibri"/>
            <family val="2"/>
          </rPr>
          <t>M.V. Ramana:</t>
        </r>
        <r>
          <rPr>
            <sz val="9"/>
            <color indexed="81"/>
            <rFont val="Calibri"/>
            <family val="2"/>
          </rPr>
          <t xml:space="preserve">
Note: because the sundry debtors term involves knowing the tariff, the only way to calculate the tariff involves solving for self-consistency. It is somewhat difficult to do so using Excel but is much easier in Mathematica. Therefore, we have used the results of the Mathematica calculation as a trial guess and check that the final result is consistent with this guess. Ths is the difference term on row 102, and, as is evident, this is zero for each year. Further, we have also checked that each of the individual terms that go into the tariff (return on equity, fuel consumption, and so on) are the same when calculated using the Mathematica notebook and using Excel. Below one can see that those terms are all zero as well for each year. </t>
        </r>
      </text>
    </comment>
  </commentList>
</comments>
</file>

<file path=xl/sharedStrings.xml><?xml version="1.0" encoding="utf-8"?>
<sst xmlns="http://schemas.openxmlformats.org/spreadsheetml/2006/main" count="118" uniqueCount="109">
  <si>
    <t>US dollar conversion rate (Rs/$)</t>
  </si>
  <si>
    <t>Overnight unit cost of reactor ($/kW)</t>
  </si>
  <si>
    <t>Capacity (kW)</t>
  </si>
  <si>
    <t>Inflation rate (%)</t>
  </si>
  <si>
    <t>Initial cost estimate (Rs)</t>
  </si>
  <si>
    <t>Debt interest rate</t>
  </si>
  <si>
    <t>Equity return rate</t>
  </si>
  <si>
    <t>From http://cercind.gov.in/2012/escalation/Explanation_2_4_2012.pdf</t>
  </si>
  <si>
    <t>Both these rates are nominal rates; to convert to real rates, one has to subtract the inflation rate</t>
  </si>
  <si>
    <t>Corporate tax rate (%)</t>
  </si>
  <si>
    <t>Debt fraction</t>
  </si>
  <si>
    <t>Equity fraction</t>
  </si>
  <si>
    <t>Discount rate</t>
  </si>
  <si>
    <t>Cumulative Fractional Expenditure on Koodankulam</t>
  </si>
  <si>
    <t>Yearly Fractional Expenditure on Koodankulam</t>
  </si>
  <si>
    <t>Year</t>
  </si>
  <si>
    <t>Cumulative Expenditure on KK (Rs. Crores)</t>
  </si>
  <si>
    <t>Yearly expenditure on KK (Rs. Crores)</t>
  </si>
  <si>
    <t>Adjust for escalation (Rs. Crores)</t>
  </si>
  <si>
    <t>Base expenditures on Jaitapur (Rs crores)</t>
  </si>
  <si>
    <t>Escalated expenditures on Jaitapur (Rs Crores)</t>
  </si>
  <si>
    <t>Equity (Rs Crores)</t>
  </si>
  <si>
    <t>Total expenditures on Jaitapur (Rs Crores)</t>
  </si>
  <si>
    <t>Debt (Rs Crores)</t>
  </si>
  <si>
    <t>Interest (Rs Crores)</t>
  </si>
  <si>
    <t>Interest So Far (Rs Crores)</t>
  </si>
  <si>
    <t>Total debt</t>
  </si>
  <si>
    <t>Total expenditure</t>
  </si>
  <si>
    <t>Check (Total expenditure = debt + equity)</t>
  </si>
  <si>
    <t>Fuel Usage</t>
  </si>
  <si>
    <t>Burnup (MWth-day/kg)</t>
  </si>
  <si>
    <t>gross electrical output (MW)</t>
  </si>
  <si>
    <t>thermal output (MWth)</t>
  </si>
  <si>
    <t>thermal efficiency</t>
  </si>
  <si>
    <t>load factor</t>
  </si>
  <si>
    <t>Fuel use (kg/million units = kg/1000 MWh)</t>
  </si>
  <si>
    <t>Kilograms per year</t>
  </si>
  <si>
    <t>x-p</t>
  </si>
  <si>
    <t>x-f</t>
  </si>
  <si>
    <t>x-t</t>
  </si>
  <si>
    <t>R</t>
  </si>
  <si>
    <t>Enriched uranium</t>
  </si>
  <si>
    <t>V(x) = (2x-1)ln(x/(1-x))</t>
  </si>
  <si>
    <t>V(x-p)</t>
  </si>
  <si>
    <t>V(x-f)</t>
  </si>
  <si>
    <t>V(x-t)</t>
  </si>
  <si>
    <t>S = V(x-p)-V(x-t) - R*(V(x-f)-V(x-t))</t>
  </si>
  <si>
    <t>Number of SWUs</t>
  </si>
  <si>
    <t>C-uranium ($/kg)</t>
  </si>
  <si>
    <t>C-conversion ($/kg)</t>
  </si>
  <si>
    <t>C-separation ($/SWU)</t>
  </si>
  <si>
    <t>C-fabrication($/kgHM)</t>
  </si>
  <si>
    <t>C-LEU ($/kg)</t>
  </si>
  <si>
    <t>Packaging and transport</t>
  </si>
  <si>
    <t>Total</t>
  </si>
  <si>
    <t>Lifetime of reactor (years)</t>
  </si>
  <si>
    <t>Total (gross) units per year (MWh)</t>
  </si>
  <si>
    <t>Auxiliary consumption</t>
  </si>
  <si>
    <t>Total (net) units per year (MWh)</t>
  </si>
  <si>
    <t>O&amp;M as a percent of capital cost</t>
  </si>
  <si>
    <t>Depreciation rate</t>
  </si>
  <si>
    <t>Years over which debt is repaid</t>
  </si>
  <si>
    <t>Fraction of initial fuel cost recovered</t>
  </si>
  <si>
    <t>Years over which fuel cost is recovered</t>
  </si>
  <si>
    <t>Initial Fuel Inventory (kgs)</t>
  </si>
  <si>
    <t>Initial Fuel Cost (Rs)</t>
  </si>
  <si>
    <t>Early inflation rate</t>
  </si>
  <si>
    <t>Late inflation rate</t>
  </si>
  <si>
    <t>Transition year</t>
  </si>
  <si>
    <t>Total equity</t>
  </si>
  <si>
    <t>Interest on market borrowings</t>
  </si>
  <si>
    <t>Interest on working capital</t>
  </si>
  <si>
    <t>Stores inventory as fraction of total capital cost</t>
  </si>
  <si>
    <t>decommissioning charge (Rs/kWh)</t>
  </si>
  <si>
    <t>Stores inventory (Rs)</t>
  </si>
  <si>
    <t>O &amp; M expenditure for one month (Rs)</t>
  </si>
  <si>
    <t>Sundry debtors</t>
  </si>
  <si>
    <t>Tariff guess (Rs)</t>
  </si>
  <si>
    <t>Working capital (Rs)</t>
  </si>
  <si>
    <t>Interest rate for working capital (%)</t>
  </si>
  <si>
    <t>Return on equity</t>
  </si>
  <si>
    <t>Fuel consumption</t>
  </si>
  <si>
    <t>Fuel recovery cost (initial inventory)</t>
  </si>
  <si>
    <t>Decommissioning charge</t>
  </si>
  <si>
    <t>Depreciation charge (Rs)</t>
  </si>
  <si>
    <t>Final depreciated value</t>
  </si>
  <si>
    <t>Number of years of depreciation</t>
  </si>
  <si>
    <t>O&amp;M cost (Rs)</t>
  </si>
  <si>
    <t>Total Tariff (Rs/kWh)</t>
  </si>
  <si>
    <t>Fuel recovery factor</t>
  </si>
  <si>
    <t>(Thakur uses 2/3)</t>
  </si>
  <si>
    <t>Fuel Recovery period (years)</t>
  </si>
  <si>
    <t>fuel inventory for six months (Rs)</t>
  </si>
  <si>
    <t>gestation period</t>
  </si>
  <si>
    <t>returnonequity</t>
  </si>
  <si>
    <t>intonmarketborrowings</t>
  </si>
  <si>
    <t>depreciation</t>
  </si>
  <si>
    <t>omcosts</t>
  </si>
  <si>
    <t>fueltariff</t>
  </si>
  <si>
    <t>fuelrecoverycost</t>
  </si>
  <si>
    <t>intworkingcapital</t>
  </si>
  <si>
    <t>decommissioning</t>
  </si>
  <si>
    <t>Mathematica results for tariff</t>
  </si>
  <si>
    <t>Differences (Mathematica - Excel)</t>
  </si>
  <si>
    <t>Difference (used to check consistency between guessed tariff and calculated tariff)</t>
  </si>
  <si>
    <t>Tariff</t>
  </si>
  <si>
    <t>Discounted Tariff</t>
  </si>
  <si>
    <t>Discount Factor</t>
  </si>
  <si>
    <t>Levelised Tariff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</si>
</sst>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00%"/>
    <numFmt numFmtId="165" formatCode="0.0%"/>
    <numFmt numFmtId="166" formatCode="0.00000"/>
    <numFmt numFmtId="167" formatCode="0.0000"/>
    <numFmt numFmtId="168" formatCode="0.0000E+00"/>
    <numFmt numFmtId="169" formatCode="0.0000000"/>
    <numFmt numFmtId="170" formatCode="0.0000000000E+00"/>
    <numFmt numFmtId="171" formatCode="0.000000000E+00"/>
  </numFmts>
  <fonts count="7"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indexed="206"/>
      <name val="Calibri"/>
      <family val="2"/>
    </font>
    <font>
      <sz val="9"/>
      <color indexed="81"/>
      <name val="Calibri"/>
      <family val="2"/>
    </font>
    <font>
      <b/>
      <sz val="9"/>
      <color indexed="81"/>
      <name val="Calibri"/>
      <family val="2"/>
    </font>
  </fonts>
  <fills count="2">
    <fill>
      <patternFill patternType="none"/>
    </fill>
    <fill>
      <patternFill patternType="gray125"/>
    </fill>
  </fills>
  <borders count="1">
    <border>
      <left/>
      <right/>
      <top/>
      <bottom/>
      <diagonal/>
    </border>
  </borders>
  <cellStyleXfs count="34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9" fontId="0" fillId="0" borderId="0" xfId="0" applyNumberFormat="1"/>
    <xf numFmtId="10" fontId="0" fillId="0" borderId="0" xfId="0" applyNumberFormat="1"/>
    <xf numFmtId="164" fontId="0" fillId="0" borderId="0" xfId="0" applyNumberFormat="1"/>
    <xf numFmtId="2" fontId="0" fillId="0" borderId="0" xfId="0" applyNumberFormat="1"/>
    <xf numFmtId="1" fontId="0" fillId="0" borderId="0" xfId="0" applyNumberFormat="1"/>
    <xf numFmtId="165" fontId="0" fillId="0" borderId="0" xfId="0" applyNumberFormat="1"/>
    <xf numFmtId="0" fontId="0" fillId="0" borderId="0" xfId="0" applyNumberFormat="1"/>
    <xf numFmtId="166" fontId="0" fillId="0" borderId="0" xfId="0" applyNumberFormat="1"/>
    <xf numFmtId="167" fontId="0" fillId="0" borderId="0" xfId="0" applyNumberFormat="1"/>
    <xf numFmtId="168" fontId="0" fillId="0" borderId="0" xfId="0" applyNumberFormat="1"/>
    <xf numFmtId="11" fontId="0" fillId="0" borderId="0" xfId="0" applyNumberFormat="1"/>
    <xf numFmtId="169" fontId="0" fillId="0" borderId="0" xfId="0" applyNumberFormat="1"/>
    <xf numFmtId="0" fontId="0" fillId="0" borderId="0" xfId="0" applyFill="1"/>
    <xf numFmtId="170" fontId="0" fillId="0" borderId="0" xfId="0" applyNumberFormat="1"/>
    <xf numFmtId="171" fontId="0" fillId="0" borderId="0" xfId="0" applyNumberFormat="1"/>
    <xf numFmtId="0" fontId="0" fillId="0" borderId="0" xfId="0" applyNumberFormat="1" applyFont="1" applyFill="1" applyBorder="1" applyAlignment="1"/>
    <xf numFmtId="9" fontId="0" fillId="0" borderId="0" xfId="341" applyFont="1"/>
    <xf numFmtId="0" fontId="4" fillId="0" borderId="0" xfId="0" applyFont="1"/>
  </cellXfs>
  <cellStyles count="3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Normal" xfId="0" builtinId="0"/>
    <cellStyle name="Percent" xfId="34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N"/>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lineMarker"/>
        <c:varyColors val="0"/>
        <c:ser>
          <c:idx val="0"/>
          <c:order val="0"/>
          <c:tx>
            <c:strRef>
              <c:f>Sheet1!$A$101</c:f>
              <c:strCache>
                <c:ptCount val="1"/>
                <c:pt idx="0">
                  <c:v>Total Tariff (Rs/kWh)</c:v>
                </c:pt>
              </c:strCache>
            </c:strRef>
          </c:tx>
          <c:xVal>
            <c:numRef>
              <c:f>Sheet1!$B$91:$AQ$91</c:f>
              <c:numCache>
                <c:formatCode>General</c:formatCode>
                <c:ptCount val="42"/>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numCache>
            </c:numRef>
          </c:xVal>
          <c:yVal>
            <c:numRef>
              <c:f>Sheet1!$B$101:$AQ$101</c:f>
              <c:numCache>
                <c:formatCode>General</c:formatCode>
                <c:ptCount val="42"/>
                <c:pt idx="2" formatCode="0.00000">
                  <c:v>15.032729513518593</c:v>
                </c:pt>
                <c:pt idx="3" formatCode="0.00000">
                  <c:v>14.408700622135507</c:v>
                </c:pt>
                <c:pt idx="4" formatCode="0.00000">
                  <c:v>13.790376922220425</c:v>
                </c:pt>
                <c:pt idx="5" formatCode="0.00000">
                  <c:v>13.178043673346737</c:v>
                </c:pt>
                <c:pt idx="6" formatCode="0.00000">
                  <c:v>12.572000398066525</c:v>
                </c:pt>
                <c:pt idx="7" formatCode="0.00000">
                  <c:v>11.972561595059457</c:v>
                </c:pt>
                <c:pt idx="8" formatCode="0.00000">
                  <c:v>11.38005748793919</c:v>
                </c:pt>
                <c:pt idx="9" formatCode="0.00000">
                  <c:v>10.794834811500067</c:v>
                </c:pt>
                <c:pt idx="10" formatCode="0.00000">
                  <c:v>10.586323997647693</c:v>
                </c:pt>
                <c:pt idx="11" formatCode="0.00000">
                  <c:v>10.75490732149283</c:v>
                </c:pt>
                <c:pt idx="12" formatCode="0.00000">
                  <c:v>10.931919811530227</c:v>
                </c:pt>
                <c:pt idx="13" formatCode="0.00000">
                  <c:v>11.117782926069491</c:v>
                </c:pt>
                <c:pt idx="14" formatCode="0.00000">
                  <c:v>11.312939196335723</c:v>
                </c:pt>
                <c:pt idx="15" formatCode="0.00000">
                  <c:v>11.51785328011526</c:v>
                </c:pt>
                <c:pt idx="16" formatCode="0.00000">
                  <c:v>11.733013068083778</c:v>
                </c:pt>
                <c:pt idx="17" formatCode="0.00000">
                  <c:v>11.360707366186904</c:v>
                </c:pt>
                <c:pt idx="18" formatCode="0.00000">
                  <c:v>11.597921032422196</c:v>
                </c:pt>
                <c:pt idx="19" formatCode="0.00000">
                  <c:v>8.4752269772630466</c:v>
                </c:pt>
                <c:pt idx="20" formatCode="0.00000">
                  <c:v>8.7367550442874542</c:v>
                </c:pt>
                <c:pt idx="21" formatCode="0.00000">
                  <c:v>9.0113595146630825</c:v>
                </c:pt>
                <c:pt idx="22" formatCode="0.00000">
                  <c:v>9.2996942085574918</c:v>
                </c:pt>
                <c:pt idx="23" formatCode="0.00000">
                  <c:v>9.6024456371466211</c:v>
                </c:pt>
                <c:pt idx="24" formatCode="0.00000">
                  <c:v>9.9203346371652081</c:v>
                </c:pt>
                <c:pt idx="25" formatCode="0.00000">
                  <c:v>10.254118087184725</c:v>
                </c:pt>
                <c:pt idx="26" formatCode="0.00000">
                  <c:v>10.604590709705214</c:v>
                </c:pt>
                <c:pt idx="27" formatCode="0.00000">
                  <c:v>10.972586963351731</c:v>
                </c:pt>
                <c:pt idx="28" formatCode="0.00000">
                  <c:v>11.358983029680573</c:v>
                </c:pt>
                <c:pt idx="29" formatCode="0.00000">
                  <c:v>11.764698899325857</c:v>
                </c:pt>
                <c:pt idx="30" formatCode="0.00000">
                  <c:v>12.190700562453404</c:v>
                </c:pt>
                <c:pt idx="31" formatCode="0.00000">
                  <c:v>12.638002308737331</c:v>
                </c:pt>
                <c:pt idx="32" formatCode="0.00000">
                  <c:v>13.107669142335453</c:v>
                </c:pt>
                <c:pt idx="33" formatCode="0.00000">
                  <c:v>13.600819317613482</c:v>
                </c:pt>
                <c:pt idx="34" formatCode="0.00000">
                  <c:v>14.118627001655412</c:v>
                </c:pt>
                <c:pt idx="35" formatCode="0.00000">
                  <c:v>14.662325069899437</c:v>
                </c:pt>
                <c:pt idx="36" formatCode="0.00000">
                  <c:v>15.233208041555667</c:v>
                </c:pt>
                <c:pt idx="37" formatCode="0.00000">
                  <c:v>15.832635161794705</c:v>
                </c:pt>
                <c:pt idx="38" formatCode="0.00000">
                  <c:v>16.462033638045696</c:v>
                </c:pt>
                <c:pt idx="39" formatCode="0.00000">
                  <c:v>17.122902038109235</c:v>
                </c:pt>
                <c:pt idx="40" formatCode="0.00000">
                  <c:v>17.816813858175951</c:v>
                </c:pt>
                <c:pt idx="41" formatCode="0.00000">
                  <c:v>18.545421269246006</c:v>
                </c:pt>
              </c:numCache>
            </c:numRef>
          </c:yVal>
          <c:smooth val="0"/>
        </c:ser>
        <c:dLbls>
          <c:showLegendKey val="0"/>
          <c:showVal val="0"/>
          <c:showCatName val="0"/>
          <c:showSerName val="0"/>
          <c:showPercent val="0"/>
          <c:showBubbleSize val="0"/>
        </c:dLbls>
        <c:axId val="99835904"/>
        <c:axId val="99837440"/>
      </c:scatterChart>
      <c:valAx>
        <c:axId val="99835904"/>
        <c:scaling>
          <c:orientation val="minMax"/>
        </c:scaling>
        <c:delete val="0"/>
        <c:axPos val="b"/>
        <c:numFmt formatCode="General" sourceLinked="1"/>
        <c:majorTickMark val="out"/>
        <c:minorTickMark val="none"/>
        <c:tickLblPos val="nextTo"/>
        <c:crossAx val="99837440"/>
        <c:crosses val="autoZero"/>
        <c:crossBetween val="midCat"/>
      </c:valAx>
      <c:valAx>
        <c:axId val="99837440"/>
        <c:scaling>
          <c:orientation val="minMax"/>
          <c:max val="18"/>
          <c:min val="8"/>
        </c:scaling>
        <c:delete val="0"/>
        <c:axPos val="l"/>
        <c:majorGridlines/>
        <c:numFmt formatCode="General" sourceLinked="1"/>
        <c:majorTickMark val="out"/>
        <c:minorTickMark val="none"/>
        <c:tickLblPos val="nextTo"/>
        <c:crossAx val="99835904"/>
        <c:crosses val="autoZero"/>
        <c:crossBetween val="midCat"/>
        <c:majorUnit val="2"/>
        <c:minorUnit val="0.5"/>
      </c:valAx>
    </c:plotArea>
    <c:legend>
      <c:legendPos val="r"/>
      <c:layout/>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287864</xdr:colOff>
      <xdr:row>127</xdr:row>
      <xdr:rowOff>97367</xdr:rowOff>
    </xdr:from>
    <xdr:to>
      <xdr:col>12</xdr:col>
      <xdr:colOff>59264</xdr:colOff>
      <xdr:row>146</xdr:row>
      <xdr:rowOff>84666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2:AQ209"/>
  <sheetViews>
    <sheetView tabSelected="1" zoomScale="50" zoomScaleNormal="50" zoomScalePageLayoutView="150" workbookViewId="0">
      <selection activeCell="D118" sqref="D118"/>
    </sheetView>
  </sheetViews>
  <sheetFormatPr defaultColWidth="11.19921875" defaultRowHeight="15.6" x14ac:dyDescent="0.3"/>
  <cols>
    <col min="1" max="1" width="12.19921875" bestFit="1" customWidth="1"/>
    <col min="2" max="2" width="11.19921875" bestFit="1" customWidth="1"/>
    <col min="3" max="3" width="18.19921875" customWidth="1"/>
    <col min="4" max="4" width="18.296875" bestFit="1" customWidth="1"/>
    <col min="5" max="5" width="14.69921875" customWidth="1"/>
    <col min="6" max="6" width="12.19921875" customWidth="1"/>
    <col min="7" max="7" width="11.19921875" bestFit="1" customWidth="1"/>
  </cols>
  <sheetData>
    <row r="2" spans="1:14" x14ac:dyDescent="0.3">
      <c r="A2" t="s">
        <v>0</v>
      </c>
      <c r="D2">
        <v>55</v>
      </c>
    </row>
    <row r="3" spans="1:14" x14ac:dyDescent="0.3">
      <c r="A3" t="s">
        <v>1</v>
      </c>
      <c r="D3">
        <v>4000</v>
      </c>
    </row>
    <row r="4" spans="1:14" x14ac:dyDescent="0.3">
      <c r="A4" t="s">
        <v>2</v>
      </c>
      <c r="D4">
        <v>1650000</v>
      </c>
    </row>
    <row r="5" spans="1:14" x14ac:dyDescent="0.3">
      <c r="A5" t="s">
        <v>4</v>
      </c>
      <c r="D5">
        <f>D2*D3*D4</f>
        <v>363000000000</v>
      </c>
    </row>
    <row r="7" spans="1:14" x14ac:dyDescent="0.3">
      <c r="A7" t="s">
        <v>5</v>
      </c>
      <c r="D7" s="2">
        <v>0.1321</v>
      </c>
      <c r="E7" t="s">
        <v>7</v>
      </c>
    </row>
    <row r="8" spans="1:14" x14ac:dyDescent="0.3">
      <c r="A8" t="s">
        <v>6</v>
      </c>
      <c r="D8" s="2">
        <v>0.16830000000000001</v>
      </c>
      <c r="E8" t="s">
        <v>8</v>
      </c>
    </row>
    <row r="9" spans="1:14" x14ac:dyDescent="0.3">
      <c r="A9" t="s">
        <v>3</v>
      </c>
      <c r="D9" s="1">
        <v>0.05</v>
      </c>
    </row>
    <row r="10" spans="1:14" x14ac:dyDescent="0.3">
      <c r="A10" t="s">
        <v>9</v>
      </c>
      <c r="D10" s="1">
        <v>0.3</v>
      </c>
    </row>
    <row r="11" spans="1:14" x14ac:dyDescent="0.3">
      <c r="A11" t="s">
        <v>10</v>
      </c>
      <c r="D11" s="1">
        <v>0.7</v>
      </c>
    </row>
    <row r="12" spans="1:14" x14ac:dyDescent="0.3">
      <c r="A12" t="s">
        <v>11</v>
      </c>
      <c r="D12" s="1">
        <f>1-D11</f>
        <v>0.30000000000000004</v>
      </c>
      <c r="F12" s="1"/>
    </row>
    <row r="13" spans="1:14" x14ac:dyDescent="0.3">
      <c r="A13" t="s">
        <v>12</v>
      </c>
      <c r="D13" s="3">
        <f>D7*D11*(1-D10)+D8*D12</f>
        <v>0.115219</v>
      </c>
      <c r="F13" s="3"/>
    </row>
    <row r="14" spans="1:14" x14ac:dyDescent="0.3">
      <c r="A14" t="s">
        <v>15</v>
      </c>
      <c r="D14">
        <v>0</v>
      </c>
      <c r="E14">
        <v>1</v>
      </c>
      <c r="F14">
        <v>2</v>
      </c>
      <c r="G14">
        <v>3</v>
      </c>
      <c r="H14">
        <v>4</v>
      </c>
      <c r="I14">
        <v>5</v>
      </c>
      <c r="J14">
        <v>6</v>
      </c>
      <c r="K14">
        <v>7</v>
      </c>
      <c r="L14">
        <v>8</v>
      </c>
      <c r="M14">
        <v>9</v>
      </c>
      <c r="N14">
        <v>10</v>
      </c>
    </row>
    <row r="15" spans="1:14" x14ac:dyDescent="0.3">
      <c r="A15" t="s">
        <v>16</v>
      </c>
      <c r="D15">
        <v>2454</v>
      </c>
      <c r="E15">
        <v>4168</v>
      </c>
      <c r="F15">
        <v>5476</v>
      </c>
      <c r="G15">
        <v>7634</v>
      </c>
      <c r="H15">
        <v>9571</v>
      </c>
      <c r="I15">
        <v>10592</v>
      </c>
      <c r="J15">
        <v>11947</v>
      </c>
      <c r="K15">
        <v>13002</v>
      </c>
      <c r="L15">
        <v>13811</v>
      </c>
      <c r="M15">
        <v>14811</v>
      </c>
      <c r="N15">
        <v>15824</v>
      </c>
    </row>
    <row r="16" spans="1:14" x14ac:dyDescent="0.3">
      <c r="A16" t="s">
        <v>17</v>
      </c>
      <c r="D16">
        <f>D15</f>
        <v>2454</v>
      </c>
      <c r="E16">
        <f t="shared" ref="E16:N16" si="0">E15-D15</f>
        <v>1714</v>
      </c>
      <c r="F16">
        <f t="shared" si="0"/>
        <v>1308</v>
      </c>
      <c r="G16">
        <f t="shared" si="0"/>
        <v>2158</v>
      </c>
      <c r="H16">
        <f t="shared" si="0"/>
        <v>1937</v>
      </c>
      <c r="I16">
        <f t="shared" si="0"/>
        <v>1021</v>
      </c>
      <c r="J16">
        <f t="shared" si="0"/>
        <v>1355</v>
      </c>
      <c r="K16">
        <f t="shared" si="0"/>
        <v>1055</v>
      </c>
      <c r="L16">
        <f t="shared" si="0"/>
        <v>809</v>
      </c>
      <c r="M16">
        <f t="shared" si="0"/>
        <v>1000</v>
      </c>
      <c r="N16">
        <f t="shared" si="0"/>
        <v>1013</v>
      </c>
    </row>
    <row r="17" spans="1:17" x14ac:dyDescent="0.3">
      <c r="A17" t="s">
        <v>18</v>
      </c>
      <c r="D17">
        <f t="shared" ref="D17:N17" si="1">D16/(1+$D$9)^(D14-$D$14)</f>
        <v>2454</v>
      </c>
      <c r="E17">
        <f t="shared" si="1"/>
        <v>1632.3809523809523</v>
      </c>
      <c r="F17">
        <f t="shared" si="1"/>
        <v>1186.3945578231292</v>
      </c>
      <c r="G17">
        <f t="shared" si="1"/>
        <v>1864.1615376309253</v>
      </c>
      <c r="H17">
        <f t="shared" si="1"/>
        <v>1593.5746936718754</v>
      </c>
      <c r="I17">
        <f t="shared" si="1"/>
        <v>799.98021596429658</v>
      </c>
      <c r="J17">
        <f t="shared" si="1"/>
        <v>1011.1218624426305</v>
      </c>
      <c r="K17">
        <f t="shared" si="1"/>
        <v>749.76880328727816</v>
      </c>
      <c r="L17">
        <f t="shared" si="1"/>
        <v>547.56304388120793</v>
      </c>
      <c r="M17">
        <f t="shared" si="1"/>
        <v>644.60891621779729</v>
      </c>
      <c r="N17">
        <f t="shared" si="1"/>
        <v>621.89412583678916</v>
      </c>
    </row>
    <row r="18" spans="1:17" x14ac:dyDescent="0.3">
      <c r="A18" t="s">
        <v>14</v>
      </c>
      <c r="D18">
        <f>D17/SUM($D$17:$N$17)</f>
        <v>0.18725036085861874</v>
      </c>
      <c r="E18">
        <f t="shared" ref="E18:N18" si="2">E17/SUM($D$17:$N$17)</f>
        <v>0.1245574255876402</v>
      </c>
      <c r="F18">
        <f t="shared" si="2"/>
        <v>9.0526817063195736E-2</v>
      </c>
      <c r="G18">
        <f t="shared" si="2"/>
        <v>0.14224324393649077</v>
      </c>
      <c r="H18">
        <f t="shared" si="2"/>
        <v>0.1215963473696909</v>
      </c>
      <c r="I18">
        <f t="shared" si="2"/>
        <v>6.1041802819507038E-2</v>
      </c>
      <c r="J18">
        <f t="shared" si="2"/>
        <v>7.7152784683953216E-2</v>
      </c>
      <c r="K18">
        <f t="shared" si="2"/>
        <v>5.7210464130430953E-2</v>
      </c>
      <c r="L18">
        <f t="shared" si="2"/>
        <v>4.1781327448899702E-2</v>
      </c>
      <c r="M18">
        <f t="shared" si="2"/>
        <v>4.9186329329448115E-2</v>
      </c>
      <c r="N18">
        <f t="shared" si="2"/>
        <v>4.7453096772124698E-2</v>
      </c>
    </row>
    <row r="19" spans="1:17" x14ac:dyDescent="0.3">
      <c r="A19" t="s">
        <v>13</v>
      </c>
      <c r="D19">
        <f>D18</f>
        <v>0.18725036085861874</v>
      </c>
      <c r="E19">
        <f t="shared" ref="E19:N19" si="3">D19+E18</f>
        <v>0.31180778644625895</v>
      </c>
      <c r="F19">
        <f t="shared" si="3"/>
        <v>0.40233460350945471</v>
      </c>
      <c r="G19">
        <f t="shared" si="3"/>
        <v>0.54457784744594551</v>
      </c>
      <c r="H19">
        <f t="shared" si="3"/>
        <v>0.66617419481563644</v>
      </c>
      <c r="I19">
        <f t="shared" si="3"/>
        <v>0.72721599763514344</v>
      </c>
      <c r="J19">
        <f t="shared" si="3"/>
        <v>0.8043687823190967</v>
      </c>
      <c r="K19">
        <f t="shared" si="3"/>
        <v>0.86157924644952766</v>
      </c>
      <c r="L19">
        <f t="shared" si="3"/>
        <v>0.90336057389842739</v>
      </c>
      <c r="M19">
        <f t="shared" si="3"/>
        <v>0.9525469032278755</v>
      </c>
      <c r="N19">
        <f t="shared" si="3"/>
        <v>1.0000000000000002</v>
      </c>
    </row>
    <row r="21" spans="1:17" x14ac:dyDescent="0.3">
      <c r="A21" t="s">
        <v>19</v>
      </c>
      <c r="D21" s="5">
        <f t="shared" ref="D21:N21" si="4">D18*$D$5/10000000</f>
        <v>6797.1880991678609</v>
      </c>
      <c r="E21" s="5">
        <f t="shared" si="4"/>
        <v>4521.4345488313393</v>
      </c>
      <c r="F21" s="5">
        <f t="shared" si="4"/>
        <v>3286.1234593940053</v>
      </c>
      <c r="G21" s="5">
        <f t="shared" si="4"/>
        <v>5163.4297548946142</v>
      </c>
      <c r="H21" s="5">
        <f t="shared" si="4"/>
        <v>4413.9474095197793</v>
      </c>
      <c r="I21" s="5">
        <f t="shared" si="4"/>
        <v>2215.8174423481055</v>
      </c>
      <c r="J21" s="5">
        <f t="shared" si="4"/>
        <v>2800.6460840275017</v>
      </c>
      <c r="K21" s="5">
        <f t="shared" si="4"/>
        <v>2076.7398479346434</v>
      </c>
      <c r="L21" s="5">
        <f t="shared" si="4"/>
        <v>1516.6621863950593</v>
      </c>
      <c r="M21" s="5">
        <f t="shared" si="4"/>
        <v>1785.4637546589665</v>
      </c>
      <c r="N21" s="5">
        <f t="shared" si="4"/>
        <v>1722.5474128281264</v>
      </c>
    </row>
    <row r="22" spans="1:17" x14ac:dyDescent="0.3">
      <c r="A22" t="s">
        <v>20</v>
      </c>
      <c r="D22" s="5">
        <f t="shared" ref="D22:N22" si="5">D21*(1+$D$9)^(D14-$D$14)</f>
        <v>6797.1880991678609</v>
      </c>
      <c r="E22" s="5">
        <f t="shared" si="5"/>
        <v>4747.5062762729067</v>
      </c>
      <c r="F22" s="5">
        <f t="shared" si="5"/>
        <v>3622.951113981891</v>
      </c>
      <c r="G22" s="5">
        <f t="shared" si="5"/>
        <v>5977.3153700098783</v>
      </c>
      <c r="H22" s="5">
        <f t="shared" si="5"/>
        <v>5365.1806634426011</v>
      </c>
      <c r="I22" s="5">
        <f t="shared" si="5"/>
        <v>2828.0069475347941</v>
      </c>
      <c r="J22" s="5">
        <f t="shared" si="5"/>
        <v>3753.1336081387326</v>
      </c>
      <c r="K22" s="5">
        <f t="shared" si="5"/>
        <v>2922.1815177759136</v>
      </c>
      <c r="L22" s="5">
        <f t="shared" si="5"/>
        <v>2240.8008036784022</v>
      </c>
      <c r="M22" s="5">
        <f t="shared" si="5"/>
        <v>2769.8403012093968</v>
      </c>
      <c r="N22" s="5">
        <f t="shared" si="5"/>
        <v>2805.8482251251185</v>
      </c>
    </row>
    <row r="23" spans="1:17" x14ac:dyDescent="0.3">
      <c r="A23" t="s">
        <v>24</v>
      </c>
      <c r="D23">
        <v>0</v>
      </c>
      <c r="E23" s="5">
        <f>D23+($D$7/2)*E26</f>
        <v>162.14110475856432</v>
      </c>
      <c r="F23" s="5">
        <f>F24+($D$7/2)*F26</f>
        <v>459.09167254208285</v>
      </c>
      <c r="G23" s="5">
        <f>G24+($D$7/2)*G26</f>
        <v>818.32723251543564</v>
      </c>
      <c r="H23" s="5">
        <f>H24+($D$7/2)*H26</f>
        <v>1261.6028551658792</v>
      </c>
      <c r="I23" s="5">
        <f t="shared" ref="I23:N23" si="6">I24+0.5*$D$7*I26</f>
        <v>1630.5845191726482</v>
      </c>
      <c r="J23" s="5">
        <f t="shared" si="6"/>
        <v>2172.0768052839394</v>
      </c>
      <c r="K23" s="5">
        <f t="shared" si="6"/>
        <v>2951.3860938375778</v>
      </c>
      <c r="L23" s="5">
        <f t="shared" si="6"/>
        <v>3733.9687645672757</v>
      </c>
      <c r="M23" s="5">
        <f t="shared" si="6"/>
        <v>4616.4679548635186</v>
      </c>
      <c r="N23" s="5">
        <f t="shared" si="6"/>
        <v>5663.7506188196894</v>
      </c>
    </row>
    <row r="24" spans="1:17" x14ac:dyDescent="0.3">
      <c r="A24" t="s">
        <v>25</v>
      </c>
      <c r="D24">
        <v>0</v>
      </c>
      <c r="E24" s="5">
        <f>SUM($D$26:D26)*$D$7</f>
        <v>0</v>
      </c>
      <c r="F24" s="5">
        <f>SUM($D$26:E26)*$D$7</f>
        <v>324.28220951712865</v>
      </c>
      <c r="G24" s="5">
        <f>SUM($D$26:F26)*$D$7</f>
        <v>593.90113556703716</v>
      </c>
      <c r="H24" s="5">
        <f>SUM($D$26:G26)*$D$7</f>
        <v>1042.7533294638342</v>
      </c>
      <c r="I24" s="5">
        <f>SUM($D$26:H26)*$D$7</f>
        <v>1480.4523808679244</v>
      </c>
      <c r="J24" s="5">
        <f>SUM($D$26:I26)*$D$7</f>
        <v>1780.7166574773719</v>
      </c>
      <c r="K24" s="5">
        <f>SUM($D$26:J26)*$D$7</f>
        <v>2563.4369530905069</v>
      </c>
      <c r="L24" s="5">
        <f>SUM($D$26:K26)*$D$7</f>
        <v>3339.3352345846488</v>
      </c>
      <c r="M24" s="5">
        <f>SUM($D$26:L26)*$D$7</f>
        <v>4128.6022945499026</v>
      </c>
      <c r="N24" s="5">
        <f>SUM($D$26:M26)*$D$7</f>
        <v>5104.3336151771346</v>
      </c>
    </row>
    <row r="25" spans="1:17" x14ac:dyDescent="0.3">
      <c r="A25" t="s">
        <v>21</v>
      </c>
      <c r="D25" s="5">
        <f>D22</f>
        <v>6797.1880991678609</v>
      </c>
      <c r="E25" s="5">
        <f>E26</f>
        <v>2454.8236905157355</v>
      </c>
      <c r="F25" s="5">
        <f>F26</f>
        <v>2041.021393261987</v>
      </c>
      <c r="G25" s="5">
        <f>G26</f>
        <v>3397.821301262657</v>
      </c>
      <c r="H25" s="5">
        <f>H26</f>
        <v>3313.3917593042402</v>
      </c>
      <c r="I25" s="5">
        <v>2185.5840737517456</v>
      </c>
      <c r="J25">
        <v>0</v>
      </c>
      <c r="K25">
        <v>0</v>
      </c>
      <c r="L25">
        <v>0</v>
      </c>
      <c r="M25">
        <v>0</v>
      </c>
      <c r="N25">
        <v>0</v>
      </c>
      <c r="P25" t="s">
        <v>69</v>
      </c>
      <c r="Q25" s="5">
        <f>SUM(D25:N25)</f>
        <v>20189.830317264226</v>
      </c>
    </row>
    <row r="26" spans="1:17" x14ac:dyDescent="0.3">
      <c r="A26" t="s">
        <v>23</v>
      </c>
      <c r="D26" s="5">
        <v>0</v>
      </c>
      <c r="E26" s="5">
        <f>0.5*(E22+SUM($D$23:D23))/(1-$D$7/4)</f>
        <v>2454.8236905157355</v>
      </c>
      <c r="F26" s="5">
        <f>0.5*(F22+F24)/(1-$D$7/4)</f>
        <v>2041.021393261987</v>
      </c>
      <c r="G26" s="5">
        <f>0.5*(G22+G24)/(1-$D$7/4)</f>
        <v>3397.821301262657</v>
      </c>
      <c r="H26" s="5">
        <f>0.5*(H22+H24)/(1-$D$7/4)</f>
        <v>3313.3917593042402</v>
      </c>
      <c r="I26" s="5">
        <f>(I22+I24-I25)/(1-$D$7/2)</f>
        <v>2273.007392955697</v>
      </c>
      <c r="J26" s="5">
        <f>(J22+J24)/(1-$D$7/2)</f>
        <v>5925.210413422672</v>
      </c>
      <c r="K26" s="5">
        <f>(K22+K24)/(1-$D$7/2)</f>
        <v>5873.567611613491</v>
      </c>
      <c r="L26" s="5">
        <f>(L22+L24)/(1-$D$7/2)</f>
        <v>5974.7695682456779</v>
      </c>
      <c r="M26" s="5">
        <f>(M22+M24)/(1-$D$7/2)</f>
        <v>7386.3082560729154</v>
      </c>
      <c r="N26" s="5">
        <f>(N22+N24)/(1-$D$7/2)</f>
        <v>8469.5988439448083</v>
      </c>
      <c r="P26" t="s">
        <v>26</v>
      </c>
      <c r="Q26" s="5">
        <f>SUM(D26:N26)</f>
        <v>47109.520230599883</v>
      </c>
    </row>
    <row r="28" spans="1:17" x14ac:dyDescent="0.3">
      <c r="A28" t="s">
        <v>22</v>
      </c>
      <c r="D28" s="5">
        <f>D22</f>
        <v>6797.1880991678609</v>
      </c>
      <c r="E28" s="5">
        <f>E22+E24+$D$7*E26/2</f>
        <v>4909.647381031471</v>
      </c>
      <c r="F28" s="5">
        <f>F22+F24+$D$7*F26/2</f>
        <v>4082.042786523974</v>
      </c>
      <c r="G28" s="5">
        <f>G22+G24+$D$7*G26/2</f>
        <v>6795.642602525314</v>
      </c>
      <c r="H28" s="5">
        <f>H22+H24+$D$7*H26/2</f>
        <v>6626.7835186084803</v>
      </c>
      <c r="I28" s="5">
        <f>I25+I26</f>
        <v>4458.591466707443</v>
      </c>
      <c r="J28" s="5">
        <f>J22+J24+J26*$D$7/2</f>
        <v>5925.210413422672</v>
      </c>
      <c r="K28" s="5">
        <f>K22+K24+K26*$D$7/2</f>
        <v>5873.5676116134919</v>
      </c>
      <c r="L28" s="5">
        <f>L22+L24+L26*$D$7/2</f>
        <v>5974.7695682456779</v>
      </c>
      <c r="M28" s="5">
        <f>M22+M24+M26*$D$7/2</f>
        <v>7386.3082560729154</v>
      </c>
      <c r="N28" s="5">
        <f>N22+N24+N26*$D$7/2</f>
        <v>8469.5988439448083</v>
      </c>
      <c r="P28" t="s">
        <v>27</v>
      </c>
      <c r="Q28" s="5">
        <f>SUM(D28:N28)</f>
        <v>67299.350547864102</v>
      </c>
    </row>
    <row r="29" spans="1:17" x14ac:dyDescent="0.3">
      <c r="A29" t="s">
        <v>28</v>
      </c>
      <c r="D29" s="5">
        <f>D25+D26</f>
        <v>6797.1880991678609</v>
      </c>
      <c r="E29" s="5">
        <f>E25+E26</f>
        <v>4909.647381031471</v>
      </c>
      <c r="F29" s="5">
        <f t="shared" ref="F29:N29" si="7">F25+F26</f>
        <v>4082.042786523974</v>
      </c>
      <c r="G29" s="5">
        <f t="shared" si="7"/>
        <v>6795.642602525314</v>
      </c>
      <c r="H29" s="5">
        <f t="shared" si="7"/>
        <v>6626.7835186084803</v>
      </c>
      <c r="I29" s="5">
        <f t="shared" si="7"/>
        <v>4458.591466707443</v>
      </c>
      <c r="J29" s="5">
        <f t="shared" si="7"/>
        <v>5925.210413422672</v>
      </c>
      <c r="K29" s="5">
        <f t="shared" si="7"/>
        <v>5873.567611613491</v>
      </c>
      <c r="L29" s="5">
        <f t="shared" si="7"/>
        <v>5974.7695682456779</v>
      </c>
      <c r="M29" s="5">
        <f t="shared" si="7"/>
        <v>7386.3082560729154</v>
      </c>
      <c r="N29" s="5">
        <f t="shared" si="7"/>
        <v>8469.5988439448083</v>
      </c>
      <c r="P29" t="s">
        <v>10</v>
      </c>
      <c r="Q29">
        <f>Q26/Q28</f>
        <v>0.69999962625337708</v>
      </c>
    </row>
    <row r="31" spans="1:17" x14ac:dyDescent="0.3">
      <c r="A31" t="s">
        <v>29</v>
      </c>
    </row>
    <row r="32" spans="1:17" x14ac:dyDescent="0.3">
      <c r="A32" t="s">
        <v>30</v>
      </c>
      <c r="D32">
        <v>50</v>
      </c>
    </row>
    <row r="33" spans="1:4" x14ac:dyDescent="0.3">
      <c r="A33" t="s">
        <v>31</v>
      </c>
      <c r="D33">
        <v>1650</v>
      </c>
    </row>
    <row r="34" spans="1:4" x14ac:dyDescent="0.3">
      <c r="A34" t="s">
        <v>32</v>
      </c>
      <c r="D34">
        <v>4500</v>
      </c>
    </row>
    <row r="35" spans="1:4" x14ac:dyDescent="0.3">
      <c r="A35" t="s">
        <v>33</v>
      </c>
      <c r="D35" s="4">
        <f>D33/D34</f>
        <v>0.36666666666666664</v>
      </c>
    </row>
    <row r="36" spans="1:4" x14ac:dyDescent="0.3">
      <c r="A36" t="s">
        <v>34</v>
      </c>
      <c r="D36">
        <v>0.8</v>
      </c>
    </row>
    <row r="37" spans="1:4" x14ac:dyDescent="0.3">
      <c r="A37" t="s">
        <v>35</v>
      </c>
      <c r="D37">
        <f>1000/(24*D32*D35)</f>
        <v>2.2727272727272729</v>
      </c>
    </row>
    <row r="38" spans="1:4" x14ac:dyDescent="0.3">
      <c r="A38" t="s">
        <v>36</v>
      </c>
      <c r="D38">
        <f>(D34/D32)*365*D36</f>
        <v>26280</v>
      </c>
    </row>
    <row r="40" spans="1:4" x14ac:dyDescent="0.3">
      <c r="A40" t="s">
        <v>41</v>
      </c>
    </row>
    <row r="41" spans="1:4" x14ac:dyDescent="0.3">
      <c r="A41" t="s">
        <v>37</v>
      </c>
      <c r="D41" s="1">
        <v>0.05</v>
      </c>
    </row>
    <row r="42" spans="1:4" x14ac:dyDescent="0.3">
      <c r="A42" t="s">
        <v>38</v>
      </c>
      <c r="D42" s="6">
        <v>7.0000000000000001E-3</v>
      </c>
    </row>
    <row r="43" spans="1:4" x14ac:dyDescent="0.3">
      <c r="A43" t="s">
        <v>39</v>
      </c>
      <c r="D43" s="6">
        <v>2E-3</v>
      </c>
    </row>
    <row r="44" spans="1:4" x14ac:dyDescent="0.3">
      <c r="A44" t="s">
        <v>40</v>
      </c>
      <c r="D44">
        <f>(D41-D43)/(D42-D43)</f>
        <v>9.6</v>
      </c>
    </row>
    <row r="45" spans="1:4" x14ac:dyDescent="0.3">
      <c r="A45" t="s">
        <v>42</v>
      </c>
    </row>
    <row r="46" spans="1:4" x14ac:dyDescent="0.3">
      <c r="A46" t="s">
        <v>43</v>
      </c>
      <c r="D46">
        <f>(2*D41-1)*LN(D41/(1-D41))</f>
        <v>2.6499950812497963</v>
      </c>
    </row>
    <row r="47" spans="1:4" x14ac:dyDescent="0.3">
      <c r="A47" t="s">
        <v>44</v>
      </c>
      <c r="D47">
        <f>(2*D42-1)*LN(D42/(1-D42))</f>
        <v>4.8854530277800015</v>
      </c>
    </row>
    <row r="48" spans="1:4" x14ac:dyDescent="0.3">
      <c r="A48" t="s">
        <v>45</v>
      </c>
      <c r="D48">
        <f>(2*D43-1)*LN(D43/(1-D43))</f>
        <v>6.1877556713685129</v>
      </c>
    </row>
    <row r="49" spans="1:4" x14ac:dyDescent="0.3">
      <c r="A49" t="s">
        <v>46</v>
      </c>
    </row>
    <row r="50" spans="1:4" x14ac:dyDescent="0.3">
      <c r="A50" t="s">
        <v>47</v>
      </c>
      <c r="D50">
        <f>(D46-D48)-D44*(D47-D48)</f>
        <v>8.9643447883309921</v>
      </c>
    </row>
    <row r="52" spans="1:4" x14ac:dyDescent="0.3">
      <c r="A52" t="s">
        <v>48</v>
      </c>
      <c r="D52">
        <v>150</v>
      </c>
    </row>
    <row r="53" spans="1:4" x14ac:dyDescent="0.3">
      <c r="A53" t="s">
        <v>49</v>
      </c>
      <c r="D53">
        <v>10</v>
      </c>
    </row>
    <row r="54" spans="1:4" x14ac:dyDescent="0.3">
      <c r="A54" t="s">
        <v>50</v>
      </c>
      <c r="D54">
        <v>160</v>
      </c>
    </row>
    <row r="55" spans="1:4" x14ac:dyDescent="0.3">
      <c r="A55" t="s">
        <v>51</v>
      </c>
      <c r="D55">
        <v>250</v>
      </c>
    </row>
    <row r="57" spans="1:4" x14ac:dyDescent="0.3">
      <c r="A57" t="s">
        <v>52</v>
      </c>
      <c r="D57">
        <f>(D55+D54*D50+(D52+D53)*D44)</f>
        <v>3220.2951661329589</v>
      </c>
    </row>
    <row r="58" spans="1:4" x14ac:dyDescent="0.3">
      <c r="A58" t="s">
        <v>53</v>
      </c>
      <c r="D58" s="1">
        <v>0.1</v>
      </c>
    </row>
    <row r="59" spans="1:4" x14ac:dyDescent="0.3">
      <c r="A59" t="s">
        <v>54</v>
      </c>
      <c r="D59" s="4">
        <f>(1+D58)*D57</f>
        <v>3542.3246827462549</v>
      </c>
    </row>
    <row r="60" spans="1:4" x14ac:dyDescent="0.3">
      <c r="A60" t="s">
        <v>93</v>
      </c>
      <c r="B60">
        <v>11</v>
      </c>
    </row>
    <row r="61" spans="1:4" x14ac:dyDescent="0.3">
      <c r="A61" t="s">
        <v>55</v>
      </c>
      <c r="D61">
        <v>40</v>
      </c>
    </row>
    <row r="62" spans="1:4" x14ac:dyDescent="0.3">
      <c r="A62" t="s">
        <v>56</v>
      </c>
      <c r="D62">
        <f>24*365*D36*D33</f>
        <v>11563200</v>
      </c>
    </row>
    <row r="63" spans="1:4" x14ac:dyDescent="0.3">
      <c r="A63" t="s">
        <v>57</v>
      </c>
      <c r="D63" s="1">
        <v>7.0000000000000007E-2</v>
      </c>
    </row>
    <row r="64" spans="1:4" x14ac:dyDescent="0.3">
      <c r="A64" t="s">
        <v>58</v>
      </c>
      <c r="D64">
        <f>D62*(1-D63)</f>
        <v>10753776</v>
      </c>
    </row>
    <row r="65" spans="1:5" x14ac:dyDescent="0.3">
      <c r="A65" t="s">
        <v>59</v>
      </c>
      <c r="D65" s="1">
        <v>0.02</v>
      </c>
    </row>
    <row r="66" spans="1:5" x14ac:dyDescent="0.3">
      <c r="A66" t="s">
        <v>60</v>
      </c>
      <c r="D66" s="2">
        <v>5.28E-2</v>
      </c>
    </row>
    <row r="67" spans="1:5" x14ac:dyDescent="0.3">
      <c r="A67" t="s">
        <v>85</v>
      </c>
      <c r="D67" s="2">
        <v>0.1</v>
      </c>
    </row>
    <row r="68" spans="1:5" x14ac:dyDescent="0.3">
      <c r="A68" t="s">
        <v>86</v>
      </c>
      <c r="D68" s="7">
        <f>(1-D67)/D66</f>
        <v>17.045454545454547</v>
      </c>
    </row>
    <row r="69" spans="1:5" x14ac:dyDescent="0.3">
      <c r="A69" t="s">
        <v>61</v>
      </c>
      <c r="D69">
        <v>8</v>
      </c>
    </row>
    <row r="70" spans="1:5" x14ac:dyDescent="0.3">
      <c r="A70" t="s">
        <v>62</v>
      </c>
      <c r="D70" s="1">
        <v>1</v>
      </c>
    </row>
    <row r="71" spans="1:5" x14ac:dyDescent="0.3">
      <c r="A71" t="s">
        <v>63</v>
      </c>
      <c r="D71">
        <v>15</v>
      </c>
    </row>
    <row r="73" spans="1:5" x14ac:dyDescent="0.3">
      <c r="A73" t="s">
        <v>64</v>
      </c>
      <c r="D73">
        <f>127000</f>
        <v>127000</v>
      </c>
    </row>
    <row r="74" spans="1:5" x14ac:dyDescent="0.3">
      <c r="A74" t="s">
        <v>65</v>
      </c>
      <c r="D74">
        <f>D73*D59*D2*(1+D9)^(B60-1)</f>
        <v>40303964389.554962</v>
      </c>
    </row>
    <row r="75" spans="1:5" x14ac:dyDescent="0.3">
      <c r="A75" t="s">
        <v>89</v>
      </c>
      <c r="D75">
        <v>1</v>
      </c>
      <c r="E75" t="s">
        <v>90</v>
      </c>
    </row>
    <row r="76" spans="1:5" x14ac:dyDescent="0.3">
      <c r="A76" t="s">
        <v>91</v>
      </c>
      <c r="D76">
        <v>15</v>
      </c>
    </row>
    <row r="77" spans="1:5" x14ac:dyDescent="0.3">
      <c r="A77" t="s">
        <v>66</v>
      </c>
      <c r="D77" s="1">
        <v>0.05</v>
      </c>
    </row>
    <row r="78" spans="1:5" x14ac:dyDescent="0.3">
      <c r="A78" t="s">
        <v>67</v>
      </c>
      <c r="D78" s="1">
        <v>0.05</v>
      </c>
    </row>
    <row r="79" spans="1:5" x14ac:dyDescent="0.3">
      <c r="A79" t="s">
        <v>68</v>
      </c>
      <c r="D79">
        <v>25</v>
      </c>
    </row>
    <row r="80" spans="1:5" x14ac:dyDescent="0.3">
      <c r="D80" s="2"/>
    </row>
    <row r="81" spans="1:43" x14ac:dyDescent="0.3">
      <c r="A81" t="s">
        <v>72</v>
      </c>
      <c r="D81" s="17">
        <v>0.02</v>
      </c>
    </row>
    <row r="82" spans="1:43" x14ac:dyDescent="0.3">
      <c r="A82" t="s">
        <v>74</v>
      </c>
      <c r="D82" s="14">
        <f>D81*Q28*10000000</f>
        <v>13459870109.572821</v>
      </c>
      <c r="E82" s="11">
        <f>D82*(1+$D$77)</f>
        <v>14132863615.051462</v>
      </c>
      <c r="F82" s="11">
        <f t="shared" ref="F82:AQ82" si="8">E82*(1+$D$77)</f>
        <v>14839506795.804035</v>
      </c>
      <c r="G82">
        <f t="shared" si="8"/>
        <v>15581482135.594238</v>
      </c>
      <c r="H82">
        <f t="shared" si="8"/>
        <v>16360556242.373951</v>
      </c>
      <c r="I82">
        <f t="shared" si="8"/>
        <v>17178584054.492649</v>
      </c>
      <c r="J82">
        <f t="shared" si="8"/>
        <v>18037513257.217281</v>
      </c>
      <c r="K82">
        <f t="shared" si="8"/>
        <v>18939388920.078148</v>
      </c>
      <c r="L82">
        <f t="shared" si="8"/>
        <v>19886358366.082058</v>
      </c>
      <c r="M82">
        <f t="shared" si="8"/>
        <v>20880676284.386162</v>
      </c>
      <c r="N82">
        <f t="shared" si="8"/>
        <v>21924710098.605473</v>
      </c>
      <c r="O82">
        <f t="shared" si="8"/>
        <v>23020945603.535748</v>
      </c>
      <c r="P82">
        <f t="shared" si="8"/>
        <v>24171992883.712536</v>
      </c>
      <c r="Q82">
        <f t="shared" si="8"/>
        <v>25380592527.898163</v>
      </c>
      <c r="R82">
        <f t="shared" si="8"/>
        <v>26649622154.293072</v>
      </c>
      <c r="S82">
        <f t="shared" si="8"/>
        <v>27982103262.007725</v>
      </c>
      <c r="T82">
        <f t="shared" si="8"/>
        <v>29381208425.108112</v>
      </c>
      <c r="U82">
        <f t="shared" si="8"/>
        <v>30850268846.363518</v>
      </c>
      <c r="V82">
        <f t="shared" si="8"/>
        <v>32392782288.681694</v>
      </c>
      <c r="W82">
        <f t="shared" si="8"/>
        <v>34012421403.11578</v>
      </c>
      <c r="X82">
        <f t="shared" si="8"/>
        <v>35713042473.271568</v>
      </c>
      <c r="Y82">
        <f t="shared" si="8"/>
        <v>37498694596.93515</v>
      </c>
      <c r="Z82">
        <f t="shared" si="8"/>
        <v>39373629326.781906</v>
      </c>
      <c r="AA82">
        <f t="shared" si="8"/>
        <v>41342310793.121002</v>
      </c>
      <c r="AB82">
        <f t="shared" si="8"/>
        <v>43409426332.777054</v>
      </c>
      <c r="AC82">
        <f t="shared" si="8"/>
        <v>45579897649.415909</v>
      </c>
      <c r="AD82">
        <f t="shared" si="8"/>
        <v>47858892531.886703</v>
      </c>
      <c r="AE82">
        <f t="shared" si="8"/>
        <v>50251837158.481041</v>
      </c>
      <c r="AF82">
        <f t="shared" si="8"/>
        <v>52764429016.405098</v>
      </c>
      <c r="AG82">
        <f t="shared" si="8"/>
        <v>55402650467.225357</v>
      </c>
      <c r="AH82">
        <f t="shared" si="8"/>
        <v>58172782990.586624</v>
      </c>
      <c r="AI82">
        <f t="shared" si="8"/>
        <v>61081422140.115959</v>
      </c>
      <c r="AJ82">
        <f t="shared" si="8"/>
        <v>64135493247.121758</v>
      </c>
      <c r="AK82">
        <f t="shared" si="8"/>
        <v>67342267909.477852</v>
      </c>
      <c r="AL82">
        <f t="shared" si="8"/>
        <v>70709381304.951752</v>
      </c>
      <c r="AM82">
        <f t="shared" si="8"/>
        <v>74244850370.199341</v>
      </c>
      <c r="AN82">
        <f t="shared" si="8"/>
        <v>77957092888.709305</v>
      </c>
      <c r="AO82">
        <f t="shared" si="8"/>
        <v>81854947533.144775</v>
      </c>
      <c r="AP82">
        <f t="shared" si="8"/>
        <v>85947694909.802017</v>
      </c>
      <c r="AQ82">
        <f t="shared" si="8"/>
        <v>90245079655.292114</v>
      </c>
    </row>
    <row r="83" spans="1:43" x14ac:dyDescent="0.3">
      <c r="A83" t="s">
        <v>75</v>
      </c>
      <c r="D83" s="15">
        <f>(D65*Q28*10000000/12)</f>
        <v>1121655842.4644017</v>
      </c>
      <c r="E83" s="11">
        <f>D83*(1+$D$77)</f>
        <v>1177738634.5876219</v>
      </c>
      <c r="F83" s="11">
        <f t="shared" ref="F83:AQ83" si="9">E83*(1+$D$77)</f>
        <v>1236625566.317003</v>
      </c>
      <c r="G83" s="11">
        <f t="shared" si="9"/>
        <v>1298456844.6328533</v>
      </c>
      <c r="H83" s="11">
        <f t="shared" si="9"/>
        <v>1363379686.864496</v>
      </c>
      <c r="I83" s="11">
        <f t="shared" si="9"/>
        <v>1431548671.2077208</v>
      </c>
      <c r="J83" s="11">
        <f t="shared" si="9"/>
        <v>1503126104.7681069</v>
      </c>
      <c r="K83" s="11">
        <f t="shared" si="9"/>
        <v>1578282410.0065124</v>
      </c>
      <c r="L83" s="11">
        <f t="shared" si="9"/>
        <v>1657196530.5068381</v>
      </c>
      <c r="M83" s="11">
        <f t="shared" si="9"/>
        <v>1740056357.0321801</v>
      </c>
      <c r="N83" s="11">
        <f t="shared" si="9"/>
        <v>1827059174.8837891</v>
      </c>
      <c r="O83" s="11">
        <f t="shared" si="9"/>
        <v>1918412133.6279786</v>
      </c>
      <c r="P83" s="11">
        <f t="shared" si="9"/>
        <v>2014332740.3093777</v>
      </c>
      <c r="Q83" s="11">
        <f t="shared" si="9"/>
        <v>2115049377.3248467</v>
      </c>
      <c r="R83" s="11">
        <f t="shared" si="9"/>
        <v>2220801846.1910892</v>
      </c>
      <c r="S83" s="11">
        <f t="shared" si="9"/>
        <v>2331841938.5006437</v>
      </c>
      <c r="T83" s="11">
        <f t="shared" si="9"/>
        <v>2448434035.4256759</v>
      </c>
      <c r="U83" s="11">
        <f t="shared" si="9"/>
        <v>2570855737.19696</v>
      </c>
      <c r="V83" s="11">
        <f t="shared" si="9"/>
        <v>2699398524.056808</v>
      </c>
      <c r="W83" s="11">
        <f t="shared" si="9"/>
        <v>2834368450.2596483</v>
      </c>
      <c r="X83" s="11">
        <f t="shared" si="9"/>
        <v>2976086872.7726307</v>
      </c>
      <c r="Y83" s="11">
        <f t="shared" si="9"/>
        <v>3124891216.4112625</v>
      </c>
      <c r="Z83" s="11">
        <f t="shared" si="9"/>
        <v>3281135777.2318258</v>
      </c>
      <c r="AA83" s="11">
        <f t="shared" si="9"/>
        <v>3445192566.0934172</v>
      </c>
      <c r="AB83" s="11">
        <f t="shared" si="9"/>
        <v>3617452194.398088</v>
      </c>
      <c r="AC83" s="11">
        <f t="shared" si="9"/>
        <v>3798324804.1179924</v>
      </c>
      <c r="AD83" s="11">
        <f t="shared" si="9"/>
        <v>3988241044.3238921</v>
      </c>
      <c r="AE83" s="11">
        <f t="shared" si="9"/>
        <v>4187653096.5400867</v>
      </c>
      <c r="AF83" s="11">
        <f t="shared" si="9"/>
        <v>4397035751.3670912</v>
      </c>
      <c r="AG83" s="11">
        <f t="shared" si="9"/>
        <v>4616887538.9354458</v>
      </c>
      <c r="AH83" s="11">
        <f t="shared" si="9"/>
        <v>4847731915.8822184</v>
      </c>
      <c r="AI83" s="11">
        <f t="shared" si="9"/>
        <v>5090118511.6763296</v>
      </c>
      <c r="AJ83" s="11">
        <f t="shared" si="9"/>
        <v>5344624437.2601461</v>
      </c>
      <c r="AK83" s="11">
        <f t="shared" si="9"/>
        <v>5611855659.1231537</v>
      </c>
      <c r="AL83" s="11">
        <f t="shared" si="9"/>
        <v>5892448442.0793114</v>
      </c>
      <c r="AM83" s="11">
        <f t="shared" si="9"/>
        <v>6187070864.1832771</v>
      </c>
      <c r="AN83" s="11">
        <f t="shared" si="9"/>
        <v>6496424407.3924408</v>
      </c>
      <c r="AO83" s="11">
        <f t="shared" si="9"/>
        <v>6821245627.762063</v>
      </c>
      <c r="AP83" s="11">
        <f t="shared" si="9"/>
        <v>7162307909.1501665</v>
      </c>
      <c r="AQ83" s="11">
        <f t="shared" si="9"/>
        <v>7520423304.6076756</v>
      </c>
    </row>
    <row r="84" spans="1:43" x14ac:dyDescent="0.3">
      <c r="A84" t="s">
        <v>92</v>
      </c>
      <c r="D84" s="11">
        <f>(D38/2)*D59*D2*(1+$D$77)^($N$14)</f>
        <v>4170032221.0925369</v>
      </c>
      <c r="E84" s="11">
        <f>D84*(1+$D$77)</f>
        <v>4378533832.1471643</v>
      </c>
      <c r="F84" s="11">
        <f t="shared" ref="F84:AQ84" si="10">E84*(1+$D$77)</f>
        <v>4597460523.7545223</v>
      </c>
      <c r="G84" s="11">
        <f t="shared" si="10"/>
        <v>4827333549.9422483</v>
      </c>
      <c r="H84" s="11">
        <f t="shared" si="10"/>
        <v>5068700227.4393606</v>
      </c>
      <c r="I84" s="11">
        <f t="shared" si="10"/>
        <v>5322135238.8113289</v>
      </c>
      <c r="J84" s="11">
        <f t="shared" si="10"/>
        <v>5588242000.7518959</v>
      </c>
      <c r="K84" s="11">
        <f t="shared" si="10"/>
        <v>5867654100.7894907</v>
      </c>
      <c r="L84" s="11">
        <f t="shared" si="10"/>
        <v>6161036805.8289652</v>
      </c>
      <c r="M84" s="11">
        <f t="shared" si="10"/>
        <v>6469088646.1204138</v>
      </c>
      <c r="N84" s="11">
        <f t="shared" si="10"/>
        <v>6792543078.4264345</v>
      </c>
      <c r="O84" s="11">
        <f t="shared" si="10"/>
        <v>7132170232.3477564</v>
      </c>
      <c r="P84" s="11">
        <f t="shared" si="10"/>
        <v>7488778743.9651442</v>
      </c>
      <c r="Q84" s="11">
        <f t="shared" si="10"/>
        <v>7863217681.1634016</v>
      </c>
      <c r="R84" s="11">
        <f t="shared" si="10"/>
        <v>8256378565.2215719</v>
      </c>
      <c r="S84" s="11">
        <f t="shared" si="10"/>
        <v>8669197493.4826508</v>
      </c>
      <c r="T84" s="11">
        <f t="shared" si="10"/>
        <v>9102657368.1567841</v>
      </c>
      <c r="U84" s="11">
        <f t="shared" si="10"/>
        <v>9557790236.5646229</v>
      </c>
      <c r="V84" s="11">
        <f t="shared" si="10"/>
        <v>10035679748.392855</v>
      </c>
      <c r="W84" s="11">
        <f t="shared" si="10"/>
        <v>10537463735.812498</v>
      </c>
      <c r="X84" s="11">
        <f t="shared" si="10"/>
        <v>11064336922.603123</v>
      </c>
      <c r="Y84" s="11">
        <f t="shared" si="10"/>
        <v>11617553768.73328</v>
      </c>
      <c r="Z84" s="11">
        <f t="shared" si="10"/>
        <v>12198431457.169945</v>
      </c>
      <c r="AA84" s="11">
        <f t="shared" si="10"/>
        <v>12808353030.028442</v>
      </c>
      <c r="AB84" s="11">
        <f t="shared" si="10"/>
        <v>13448770681.529865</v>
      </c>
      <c r="AC84" s="11">
        <f t="shared" si="10"/>
        <v>14121209215.606359</v>
      </c>
      <c r="AD84" s="11">
        <f t="shared" si="10"/>
        <v>14827269676.386679</v>
      </c>
      <c r="AE84" s="11">
        <f t="shared" si="10"/>
        <v>15568633160.206013</v>
      </c>
      <c r="AF84" s="11">
        <f t="shared" si="10"/>
        <v>16347064818.216314</v>
      </c>
      <c r="AG84" s="11">
        <f t="shared" si="10"/>
        <v>17164418059.127131</v>
      </c>
      <c r="AH84" s="11">
        <f t="shared" si="10"/>
        <v>18022638962.083488</v>
      </c>
      <c r="AI84" s="11">
        <f t="shared" si="10"/>
        <v>18923770910.187664</v>
      </c>
      <c r="AJ84" s="11">
        <f t="shared" si="10"/>
        <v>19869959455.697048</v>
      </c>
      <c r="AK84" s="11">
        <f t="shared" si="10"/>
        <v>20863457428.481903</v>
      </c>
      <c r="AL84" s="11">
        <f t="shared" si="10"/>
        <v>21906630299.905998</v>
      </c>
      <c r="AM84" s="11">
        <f t="shared" si="10"/>
        <v>23001961814.901299</v>
      </c>
      <c r="AN84" s="11">
        <f t="shared" si="10"/>
        <v>24152059905.646366</v>
      </c>
      <c r="AO84" s="11">
        <f t="shared" si="10"/>
        <v>25359662900.928684</v>
      </c>
      <c r="AP84" s="11">
        <f t="shared" si="10"/>
        <v>26627646045.975121</v>
      </c>
      <c r="AQ84" s="11">
        <f t="shared" si="10"/>
        <v>27959028348.273876</v>
      </c>
    </row>
    <row r="85" spans="1:43" x14ac:dyDescent="0.3">
      <c r="A85" t="s">
        <v>77</v>
      </c>
      <c r="D85" s="9">
        <f>D113</f>
        <v>15.032732514412277</v>
      </c>
      <c r="E85" s="9">
        <f t="shared" ref="E85:AQ85" si="11">E113</f>
        <v>14.408703038575567</v>
      </c>
      <c r="F85" s="9">
        <f t="shared" si="11"/>
        <v>13.790378755280802</v>
      </c>
      <c r="G85" s="9">
        <f t="shared" si="11"/>
        <v>13.178044924155087</v>
      </c>
      <c r="H85" s="9">
        <f t="shared" si="11"/>
        <v>12.57200106780687</v>
      </c>
      <c r="I85" s="9">
        <f t="shared" si="11"/>
        <v>11.972561684975025</v>
      </c>
      <c r="J85" s="9">
        <f t="shared" si="11"/>
        <v>11.380056999335373</v>
      </c>
      <c r="K85" s="9">
        <f t="shared" si="11"/>
        <v>10.794833745747525</v>
      </c>
      <c r="L85" s="9">
        <f t="shared" si="11"/>
        <v>10.586322659151914</v>
      </c>
      <c r="M85" s="9">
        <f t="shared" si="11"/>
        <v>10.754906014731265</v>
      </c>
      <c r="N85" s="9">
        <f t="shared" si="11"/>
        <v>10.931918538089581</v>
      </c>
      <c r="O85" s="9">
        <f t="shared" si="11"/>
        <v>11.117781687615814</v>
      </c>
      <c r="P85" s="9">
        <f t="shared" si="11"/>
        <v>11.312937994618359</v>
      </c>
      <c r="Q85" s="9">
        <f t="shared" si="11"/>
        <v>11.517852116971033</v>
      </c>
      <c r="R85" s="9">
        <f t="shared" si="11"/>
        <v>11.733011945441337</v>
      </c>
      <c r="S85" s="9">
        <f t="shared" si="11"/>
        <v>11.360706286071343</v>
      </c>
      <c r="T85" s="9">
        <f t="shared" si="11"/>
        <v>11.597919996959854</v>
      </c>
      <c r="U85" s="9">
        <f t="shared" si="11"/>
        <v>8.4752249850677828</v>
      </c>
      <c r="V85" s="9">
        <f t="shared" si="11"/>
        <v>8.7367531013223676</v>
      </c>
      <c r="W85" s="9">
        <f t="shared" si="11"/>
        <v>9.0113576233896815</v>
      </c>
      <c r="X85" s="9">
        <f t="shared" si="11"/>
        <v>9.2996923715603614</v>
      </c>
      <c r="Y85" s="9">
        <f t="shared" si="11"/>
        <v>9.6024438571395745</v>
      </c>
      <c r="Z85" s="9">
        <f t="shared" si="11"/>
        <v>9.920332916997749</v>
      </c>
      <c r="AA85" s="9">
        <f t="shared" si="11"/>
        <v>10.254116429848832</v>
      </c>
      <c r="AB85" s="9">
        <f t="shared" si="11"/>
        <v>10.604589118342469</v>
      </c>
      <c r="AC85" s="9">
        <f t="shared" si="11"/>
        <v>10.972585441260788</v>
      </c>
      <c r="AD85" s="9">
        <f t="shared" si="11"/>
        <v>11.358981580325024</v>
      </c>
      <c r="AE85" s="9">
        <f t="shared" si="11"/>
        <v>11.76469752634247</v>
      </c>
      <c r="AF85" s="9">
        <f t="shared" si="11"/>
        <v>12.19069926966079</v>
      </c>
      <c r="AG85" s="9">
        <f t="shared" si="11"/>
        <v>12.638001100145026</v>
      </c>
      <c r="AH85" s="9">
        <f t="shared" si="11"/>
        <v>13.10766802215347</v>
      </c>
      <c r="AI85" s="9">
        <f t="shared" si="11"/>
        <v>13.600818290262341</v>
      </c>
      <c r="AJ85" s="9">
        <f t="shared" si="11"/>
        <v>14.118626071776651</v>
      </c>
      <c r="AK85" s="9">
        <f t="shared" si="11"/>
        <v>14.66232424236668</v>
      </c>
      <c r="AL85" s="9">
        <f t="shared" si="11"/>
        <v>15.233207321486208</v>
      </c>
      <c r="AM85" s="9">
        <f t="shared" si="11"/>
        <v>15.832634554561718</v>
      </c>
      <c r="AN85" s="9">
        <f t="shared" si="11"/>
        <v>16.462033149290999</v>
      </c>
      <c r="AO85" s="9">
        <f t="shared" si="11"/>
        <v>17.122901673756743</v>
      </c>
      <c r="AP85" s="9">
        <f t="shared" si="11"/>
        <v>17.816813624445778</v>
      </c>
      <c r="AQ85" s="9">
        <f t="shared" si="11"/>
        <v>18.545421172669261</v>
      </c>
    </row>
    <row r="86" spans="1:43" x14ac:dyDescent="0.3">
      <c r="A86" t="s">
        <v>76</v>
      </c>
      <c r="D86" s="10">
        <f>D85*$D$64*1000/6</f>
        <v>26943106354.651066</v>
      </c>
      <c r="E86" s="10">
        <f>E85*$D$64*1000/6</f>
        <v>25824660821.226837</v>
      </c>
      <c r="F86" s="10">
        <f t="shared" ref="F86:AQ86" si="12">F85*$D$64*1000/6</f>
        <v>24716440681.574764</v>
      </c>
      <c r="G86" s="10">
        <f t="shared" si="12"/>
        <v>23618957205.383465</v>
      </c>
      <c r="H86" s="10">
        <f t="shared" si="12"/>
        <v>22532747225.825981</v>
      </c>
      <c r="I86" s="10">
        <f t="shared" si="12"/>
        <v>21458374417.733997</v>
      </c>
      <c r="J86" s="10">
        <f t="shared" si="12"/>
        <v>20396430639.680794</v>
      </c>
      <c r="K86" s="10">
        <f t="shared" si="12"/>
        <v>19347537343.168308</v>
      </c>
      <c r="L86" s="10">
        <f t="shared" si="12"/>
        <v>18973823756.70734</v>
      </c>
      <c r="M86" s="10">
        <f t="shared" si="12"/>
        <v>19275975030.578785</v>
      </c>
      <c r="N86" s="10">
        <f t="shared" si="12"/>
        <v>19593233868.143803</v>
      </c>
      <c r="O86" s="10">
        <f t="shared" si="12"/>
        <v>19926355647.587074</v>
      </c>
      <c r="P86" s="10">
        <f t="shared" si="12"/>
        <v>20276133516.002506</v>
      </c>
      <c r="Q86" s="10">
        <f t="shared" si="12"/>
        <v>20643400277.838715</v>
      </c>
      <c r="R86" s="10">
        <f t="shared" si="12"/>
        <v>21029030377.766727</v>
      </c>
      <c r="S86" s="10">
        <f t="shared" si="12"/>
        <v>20361748433.700523</v>
      </c>
      <c r="T86" s="10">
        <f t="shared" si="12"/>
        <v>20786905618.871159</v>
      </c>
      <c r="U86" s="10">
        <f t="shared" si="12"/>
        <v>15190111839.837046</v>
      </c>
      <c r="V86" s="10">
        <f t="shared" si="12"/>
        <v>15658847636.487677</v>
      </c>
      <c r="W86" s="10">
        <f t="shared" si="12"/>
        <v>16151020222.970833</v>
      </c>
      <c r="X86" s="10">
        <f t="shared" si="12"/>
        <v>16667801438.778151</v>
      </c>
      <c r="Y86" s="10">
        <f t="shared" si="12"/>
        <v>17210421715.375832</v>
      </c>
      <c r="Z86" s="10">
        <f t="shared" si="12"/>
        <v>17780173005.803394</v>
      </c>
      <c r="AA86" s="10">
        <f t="shared" si="12"/>
        <v>18378411860.752342</v>
      </c>
      <c r="AB86" s="10">
        <f t="shared" si="12"/>
        <v>19006562658.448734</v>
      </c>
      <c r="AC86" s="10">
        <f t="shared" si="12"/>
        <v>19666120996.029945</v>
      </c>
      <c r="AD86" s="10">
        <f t="shared" si="12"/>
        <v>20358657250.490219</v>
      </c>
      <c r="AE86" s="10">
        <f t="shared" si="12"/>
        <v>21085820317.673504</v>
      </c>
      <c r="AF86" s="10">
        <f t="shared" si="12"/>
        <v>21849341538.215954</v>
      </c>
      <c r="AG86" s="10">
        <f t="shared" si="12"/>
        <v>22651038819.78553</v>
      </c>
      <c r="AH86" s="10">
        <f t="shared" si="12"/>
        <v>23492820965.433578</v>
      </c>
      <c r="AI86" s="10">
        <f t="shared" si="12"/>
        <v>24376692218.364029</v>
      </c>
      <c r="AJ86" s="10">
        <f t="shared" si="12"/>
        <v>25304757033.941006</v>
      </c>
      <c r="AK86" s="10">
        <f t="shared" si="12"/>
        <v>26279225090.296829</v>
      </c>
      <c r="AL86" s="10">
        <f t="shared" si="12"/>
        <v>27302416549.470444</v>
      </c>
      <c r="AM86" s="10">
        <f t="shared" si="12"/>
        <v>28376767581.602749</v>
      </c>
      <c r="AN86" s="10">
        <f t="shared" si="12"/>
        <v>29504836165.34166</v>
      </c>
      <c r="AO86" s="10">
        <f t="shared" si="12"/>
        <v>30689308178.267517</v>
      </c>
      <c r="AP86" s="10">
        <f t="shared" si="12"/>
        <v>31933003791.839672</v>
      </c>
      <c r="AQ86" s="10">
        <f t="shared" si="12"/>
        <v>33238884186.090424</v>
      </c>
    </row>
    <row r="87" spans="1:43" x14ac:dyDescent="0.3">
      <c r="A87" t="s">
        <v>78</v>
      </c>
      <c r="D87" s="10">
        <f>(D$82+D$83+D$84+D$86)</f>
        <v>45694664527.780823</v>
      </c>
      <c r="E87" s="10">
        <f>(E$82+E$83+E$84+E$86)</f>
        <v>45513796903.013084</v>
      </c>
      <c r="F87" s="10">
        <f>(F$82+F$83+F$84+F$86)</f>
        <v>45390033567.450325</v>
      </c>
      <c r="G87" s="10">
        <f t="shared" ref="G87:AQ87" si="13">(G$82+G$83+G$84+G$86)</f>
        <v>45326229735.552803</v>
      </c>
      <c r="H87" s="10">
        <f t="shared" si="13"/>
        <v>45325383382.503784</v>
      </c>
      <c r="I87" s="10">
        <f t="shared" si="13"/>
        <v>45390642382.245697</v>
      </c>
      <c r="J87" s="10">
        <f t="shared" si="13"/>
        <v>45525312002.418076</v>
      </c>
      <c r="K87" s="10">
        <f t="shared" si="13"/>
        <v>45732862774.042458</v>
      </c>
      <c r="L87" s="10">
        <f t="shared" si="13"/>
        <v>46678415459.125198</v>
      </c>
      <c r="M87" s="10">
        <f t="shared" si="13"/>
        <v>48365796318.117538</v>
      </c>
      <c r="N87" s="10">
        <f t="shared" si="13"/>
        <v>50137546220.059494</v>
      </c>
      <c r="O87" s="10">
        <f t="shared" si="13"/>
        <v>51997883617.098557</v>
      </c>
      <c r="P87" s="10">
        <f t="shared" si="13"/>
        <v>53951237883.989563</v>
      </c>
      <c r="Q87" s="10">
        <f t="shared" si="13"/>
        <v>56002259864.225128</v>
      </c>
      <c r="R87" s="10">
        <f t="shared" si="13"/>
        <v>58155832943.472458</v>
      </c>
      <c r="S87" s="10">
        <f t="shared" si="13"/>
        <v>59344891127.691544</v>
      </c>
      <c r="T87" s="10">
        <f t="shared" si="13"/>
        <v>61719205447.561722</v>
      </c>
      <c r="U87" s="10">
        <f t="shared" si="13"/>
        <v>58169026659.962143</v>
      </c>
      <c r="V87" s="10">
        <f t="shared" si="13"/>
        <v>60786708197.619034</v>
      </c>
      <c r="W87" s="10">
        <f t="shared" si="13"/>
        <v>63535273812.15876</v>
      </c>
      <c r="X87" s="10">
        <f t="shared" si="13"/>
        <v>66421267707.425476</v>
      </c>
      <c r="Y87" s="10">
        <f t="shared" si="13"/>
        <v>69451561297.455536</v>
      </c>
      <c r="Z87" s="10">
        <f t="shared" si="13"/>
        <v>72633369566.987076</v>
      </c>
      <c r="AA87" s="10">
        <f t="shared" si="13"/>
        <v>75974268249.995209</v>
      </c>
      <c r="AB87" s="10">
        <f t="shared" si="13"/>
        <v>79482211867.153732</v>
      </c>
      <c r="AC87" s="10">
        <f t="shared" si="13"/>
        <v>83165552665.170212</v>
      </c>
      <c r="AD87" s="10">
        <f t="shared" si="13"/>
        <v>87033060503.087494</v>
      </c>
      <c r="AE87" s="10">
        <f t="shared" si="13"/>
        <v>91093943732.90065</v>
      </c>
      <c r="AF87" s="10">
        <f t="shared" si="13"/>
        <v>95357871124.204453</v>
      </c>
      <c r="AG87" s="10">
        <f t="shared" si="13"/>
        <v>99834994885.073456</v>
      </c>
      <c r="AH87" s="10">
        <f t="shared" si="13"/>
        <v>104535974833.98592</v>
      </c>
      <c r="AI87" s="10">
        <f t="shared" si="13"/>
        <v>109472003780.34398</v>
      </c>
      <c r="AJ87" s="10">
        <f t="shared" si="13"/>
        <v>114654834174.01996</v>
      </c>
      <c r="AK87" s="10">
        <f t="shared" si="13"/>
        <v>120096806087.37975</v>
      </c>
      <c r="AL87" s="10">
        <f t="shared" si="13"/>
        <v>125810876596.40752</v>
      </c>
      <c r="AM87" s="10">
        <f t="shared" si="13"/>
        <v>131810650630.88666</v>
      </c>
      <c r="AN87" s="10">
        <f t="shared" si="13"/>
        <v>138110413367.08978</v>
      </c>
      <c r="AO87" s="10">
        <f t="shared" si="13"/>
        <v>144725164240.10303</v>
      </c>
      <c r="AP87" s="10">
        <f t="shared" si="13"/>
        <v>151670652656.76697</v>
      </c>
      <c r="AQ87" s="10">
        <f t="shared" si="13"/>
        <v>158963415494.2641</v>
      </c>
    </row>
    <row r="88" spans="1:43" x14ac:dyDescent="0.3">
      <c r="A88" t="s">
        <v>79</v>
      </c>
      <c r="D88" s="2">
        <v>0.12</v>
      </c>
    </row>
    <row r="89" spans="1:43" x14ac:dyDescent="0.3">
      <c r="A89" t="s">
        <v>73</v>
      </c>
      <c r="D89" s="4">
        <v>0.02</v>
      </c>
    </row>
    <row r="91" spans="1:43" x14ac:dyDescent="0.3">
      <c r="A91" t="s">
        <v>15</v>
      </c>
      <c r="D91">
        <v>1</v>
      </c>
      <c r="E91">
        <v>2</v>
      </c>
      <c r="F91">
        <v>3</v>
      </c>
      <c r="G91">
        <v>4</v>
      </c>
      <c r="H91">
        <v>5</v>
      </c>
      <c r="I91">
        <v>6</v>
      </c>
      <c r="J91">
        <v>7</v>
      </c>
      <c r="K91">
        <v>8</v>
      </c>
      <c r="L91">
        <v>9</v>
      </c>
      <c r="M91">
        <v>10</v>
      </c>
      <c r="N91">
        <v>11</v>
      </c>
      <c r="O91">
        <v>12</v>
      </c>
      <c r="P91">
        <v>13</v>
      </c>
      <c r="Q91">
        <v>14</v>
      </c>
      <c r="R91">
        <v>15</v>
      </c>
      <c r="S91">
        <v>16</v>
      </c>
      <c r="T91">
        <v>17</v>
      </c>
      <c r="U91">
        <v>18</v>
      </c>
      <c r="V91">
        <v>19</v>
      </c>
      <c r="W91">
        <v>20</v>
      </c>
      <c r="X91">
        <v>21</v>
      </c>
      <c r="Y91">
        <v>22</v>
      </c>
      <c r="Z91">
        <v>23</v>
      </c>
      <c r="AA91">
        <v>24</v>
      </c>
      <c r="AB91">
        <v>25</v>
      </c>
      <c r="AC91">
        <v>26</v>
      </c>
      <c r="AD91">
        <v>27</v>
      </c>
      <c r="AE91">
        <v>28</v>
      </c>
      <c r="AF91">
        <v>29</v>
      </c>
      <c r="AG91">
        <v>30</v>
      </c>
      <c r="AH91">
        <v>31</v>
      </c>
      <c r="AI91">
        <v>32</v>
      </c>
      <c r="AJ91">
        <v>33</v>
      </c>
      <c r="AK91">
        <v>34</v>
      </c>
      <c r="AL91">
        <v>35</v>
      </c>
      <c r="AM91">
        <v>36</v>
      </c>
      <c r="AN91">
        <v>37</v>
      </c>
      <c r="AO91">
        <v>38</v>
      </c>
      <c r="AP91">
        <v>39</v>
      </c>
      <c r="AQ91">
        <v>40</v>
      </c>
    </row>
    <row r="92" spans="1:43" x14ac:dyDescent="0.3">
      <c r="A92" t="s">
        <v>80</v>
      </c>
      <c r="D92" s="8">
        <f>$Q$25*10000000*$D$8/($D$64*1000)</f>
        <v>3.1597723835753784</v>
      </c>
      <c r="E92" s="8">
        <f t="shared" ref="E92:AQ92" si="14">$Q$25*10000000*$D$8/($D$64*1000)</f>
        <v>3.1597723835753784</v>
      </c>
      <c r="F92" s="8">
        <f t="shared" si="14"/>
        <v>3.1597723835753784</v>
      </c>
      <c r="G92" s="8">
        <f t="shared" si="14"/>
        <v>3.1597723835753784</v>
      </c>
      <c r="H92" s="8">
        <f t="shared" si="14"/>
        <v>3.1597723835753784</v>
      </c>
      <c r="I92" s="8">
        <f t="shared" si="14"/>
        <v>3.1597723835753784</v>
      </c>
      <c r="J92" s="8">
        <f t="shared" si="14"/>
        <v>3.1597723835753784</v>
      </c>
      <c r="K92" s="8">
        <f t="shared" si="14"/>
        <v>3.1597723835753784</v>
      </c>
      <c r="L92" s="8">
        <f t="shared" si="14"/>
        <v>3.1597723835753784</v>
      </c>
      <c r="M92" s="8">
        <f t="shared" si="14"/>
        <v>3.1597723835753784</v>
      </c>
      <c r="N92" s="8">
        <f t="shared" si="14"/>
        <v>3.1597723835753784</v>
      </c>
      <c r="O92" s="8">
        <f t="shared" si="14"/>
        <v>3.1597723835753784</v>
      </c>
      <c r="P92" s="8">
        <f t="shared" si="14"/>
        <v>3.1597723835753784</v>
      </c>
      <c r="Q92" s="8">
        <f t="shared" si="14"/>
        <v>3.1597723835753784</v>
      </c>
      <c r="R92" s="8">
        <f t="shared" si="14"/>
        <v>3.1597723835753784</v>
      </c>
      <c r="S92" s="8">
        <f t="shared" si="14"/>
        <v>3.1597723835753784</v>
      </c>
      <c r="T92" s="8">
        <f t="shared" si="14"/>
        <v>3.1597723835753784</v>
      </c>
      <c r="U92" s="8">
        <f t="shared" si="14"/>
        <v>3.1597723835753784</v>
      </c>
      <c r="V92" s="8">
        <f t="shared" si="14"/>
        <v>3.1597723835753784</v>
      </c>
      <c r="W92" s="8">
        <f t="shared" si="14"/>
        <v>3.1597723835753784</v>
      </c>
      <c r="X92" s="8">
        <f t="shared" si="14"/>
        <v>3.1597723835753784</v>
      </c>
      <c r="Y92" s="8">
        <f t="shared" si="14"/>
        <v>3.1597723835753784</v>
      </c>
      <c r="Z92" s="8">
        <f t="shared" si="14"/>
        <v>3.1597723835753784</v>
      </c>
      <c r="AA92" s="8">
        <f t="shared" si="14"/>
        <v>3.1597723835753784</v>
      </c>
      <c r="AB92" s="8">
        <f t="shared" si="14"/>
        <v>3.1597723835753784</v>
      </c>
      <c r="AC92" s="8">
        <f t="shared" si="14"/>
        <v>3.1597723835753784</v>
      </c>
      <c r="AD92" s="8">
        <f t="shared" si="14"/>
        <v>3.1597723835753784</v>
      </c>
      <c r="AE92" s="8">
        <f t="shared" si="14"/>
        <v>3.1597723835753784</v>
      </c>
      <c r="AF92" s="8">
        <f t="shared" si="14"/>
        <v>3.1597723835753784</v>
      </c>
      <c r="AG92" s="8">
        <f t="shared" si="14"/>
        <v>3.1597723835753784</v>
      </c>
      <c r="AH92" s="8">
        <f t="shared" si="14"/>
        <v>3.1597723835753784</v>
      </c>
      <c r="AI92" s="8">
        <f t="shared" si="14"/>
        <v>3.1597723835753784</v>
      </c>
      <c r="AJ92" s="8">
        <f t="shared" si="14"/>
        <v>3.1597723835753784</v>
      </c>
      <c r="AK92" s="8">
        <f t="shared" si="14"/>
        <v>3.1597723835753784</v>
      </c>
      <c r="AL92" s="8">
        <f t="shared" si="14"/>
        <v>3.1597723835753784</v>
      </c>
      <c r="AM92" s="8">
        <f t="shared" si="14"/>
        <v>3.1597723835753784</v>
      </c>
      <c r="AN92" s="8">
        <f t="shared" si="14"/>
        <v>3.1597723835753784</v>
      </c>
      <c r="AO92" s="8">
        <f t="shared" si="14"/>
        <v>3.1597723835753784</v>
      </c>
      <c r="AP92" s="8">
        <f t="shared" si="14"/>
        <v>3.1597723835753784</v>
      </c>
      <c r="AQ92" s="8">
        <f t="shared" si="14"/>
        <v>3.1597723835753784</v>
      </c>
    </row>
    <row r="93" spans="1:43" x14ac:dyDescent="0.3">
      <c r="A93" t="s">
        <v>81</v>
      </c>
      <c r="D93" s="12">
        <f>$D$38*$D$59*$D$2*(1+$D$77)^($N$14)/($D$64*1000)</f>
        <v>0.77554753253044084</v>
      </c>
      <c r="E93" s="8">
        <f>D93*(1+$D$78)</f>
        <v>0.81432490915696287</v>
      </c>
      <c r="F93" s="8">
        <f t="shared" ref="F93:AQ93" si="15">E93*(1+$D$78)</f>
        <v>0.85504115461481101</v>
      </c>
      <c r="G93" s="8">
        <f t="shared" si="15"/>
        <v>0.89779321234555154</v>
      </c>
      <c r="H93" s="8">
        <f t="shared" si="15"/>
        <v>0.94268287296282915</v>
      </c>
      <c r="I93" s="8">
        <f t="shared" si="15"/>
        <v>0.98981701661097066</v>
      </c>
      <c r="J93" s="8">
        <f t="shared" si="15"/>
        <v>1.0393078674415193</v>
      </c>
      <c r="K93" s="8">
        <f t="shared" si="15"/>
        <v>1.0912732608135953</v>
      </c>
      <c r="L93" s="8">
        <f t="shared" si="15"/>
        <v>1.1458369238542752</v>
      </c>
      <c r="M93" s="8">
        <f t="shared" si="15"/>
        <v>1.203128770046989</v>
      </c>
      <c r="N93" s="8">
        <f t="shared" si="15"/>
        <v>1.2632852085493385</v>
      </c>
      <c r="O93" s="8">
        <f t="shared" si="15"/>
        <v>1.3264494689768054</v>
      </c>
      <c r="P93" s="8">
        <f t="shared" si="15"/>
        <v>1.3927719424256457</v>
      </c>
      <c r="Q93" s="8">
        <f t="shared" si="15"/>
        <v>1.462410539546928</v>
      </c>
      <c r="R93" s="8">
        <f t="shared" si="15"/>
        <v>1.5355310665242745</v>
      </c>
      <c r="S93" s="8">
        <f t="shared" si="15"/>
        <v>1.6123076198504882</v>
      </c>
      <c r="T93" s="8">
        <f t="shared" si="15"/>
        <v>1.6929230008430127</v>
      </c>
      <c r="U93" s="8">
        <f t="shared" si="15"/>
        <v>1.7775691508851634</v>
      </c>
      <c r="V93" s="8">
        <f t="shared" si="15"/>
        <v>1.8664476084294217</v>
      </c>
      <c r="W93" s="8">
        <f t="shared" si="15"/>
        <v>1.9597699888508928</v>
      </c>
      <c r="X93" s="8">
        <f t="shared" si="15"/>
        <v>2.0577584882934374</v>
      </c>
      <c r="Y93" s="8">
        <f t="shared" si="15"/>
        <v>2.1606464127081093</v>
      </c>
      <c r="Z93" s="8">
        <f t="shared" si="15"/>
        <v>2.2686787333435148</v>
      </c>
      <c r="AA93" s="8">
        <f t="shared" si="15"/>
        <v>2.3821126700106907</v>
      </c>
      <c r="AB93" s="8">
        <f t="shared" si="15"/>
        <v>2.5012183035112252</v>
      </c>
      <c r="AC93" s="8">
        <f t="shared" si="15"/>
        <v>2.6262792186867867</v>
      </c>
      <c r="AD93" s="8">
        <f t="shared" si="15"/>
        <v>2.7575931796211264</v>
      </c>
      <c r="AE93" s="8">
        <f t="shared" si="15"/>
        <v>2.8954728386021826</v>
      </c>
      <c r="AF93" s="8">
        <f t="shared" si="15"/>
        <v>3.040246480532292</v>
      </c>
      <c r="AG93" s="8">
        <f t="shared" si="15"/>
        <v>3.1922588045589069</v>
      </c>
      <c r="AH93" s="8">
        <f t="shared" si="15"/>
        <v>3.3518717447868522</v>
      </c>
      <c r="AI93" s="8">
        <f t="shared" si="15"/>
        <v>3.5194653320261948</v>
      </c>
      <c r="AJ93" s="8">
        <f t="shared" si="15"/>
        <v>3.6954385986275047</v>
      </c>
      <c r="AK93" s="8">
        <f t="shared" si="15"/>
        <v>3.8802105285588802</v>
      </c>
      <c r="AL93" s="8">
        <f t="shared" si="15"/>
        <v>4.0742210549868245</v>
      </c>
      <c r="AM93" s="8">
        <f t="shared" si="15"/>
        <v>4.2779321077361656</v>
      </c>
      <c r="AN93" s="8">
        <f t="shared" si="15"/>
        <v>4.4918287131229739</v>
      </c>
      <c r="AO93" s="8">
        <f t="shared" si="15"/>
        <v>4.7164201487791226</v>
      </c>
      <c r="AP93" s="8">
        <f t="shared" si="15"/>
        <v>4.9522411562180793</v>
      </c>
      <c r="AQ93" s="8">
        <f t="shared" si="15"/>
        <v>5.199853214028983</v>
      </c>
    </row>
    <row r="94" spans="1:43" x14ac:dyDescent="0.3">
      <c r="A94" t="s">
        <v>82</v>
      </c>
      <c r="D94" s="8">
        <f>-PMT($D$7,$D$76, $D$74,0)/($D$64*1000)</f>
        <v>0.58625900967854028</v>
      </c>
      <c r="E94" s="8">
        <f t="shared" ref="E94:R94" si="16">-PMT($D$7, $D$76, $D$74,0)/($D$64*1000)</f>
        <v>0.58625900967854028</v>
      </c>
      <c r="F94" s="8">
        <f t="shared" si="16"/>
        <v>0.58625900967854028</v>
      </c>
      <c r="G94" s="8">
        <f t="shared" si="16"/>
        <v>0.58625900967854028</v>
      </c>
      <c r="H94" s="8">
        <f t="shared" si="16"/>
        <v>0.58625900967854028</v>
      </c>
      <c r="I94" s="8">
        <f t="shared" si="16"/>
        <v>0.58625900967854028</v>
      </c>
      <c r="J94" s="8">
        <f t="shared" si="16"/>
        <v>0.58625900967854028</v>
      </c>
      <c r="K94" s="8">
        <f t="shared" si="16"/>
        <v>0.58625900967854028</v>
      </c>
      <c r="L94" s="8">
        <f t="shared" si="16"/>
        <v>0.58625900967854028</v>
      </c>
      <c r="M94" s="8">
        <f t="shared" si="16"/>
        <v>0.58625900967854028</v>
      </c>
      <c r="N94" s="8">
        <f t="shared" si="16"/>
        <v>0.58625900967854028</v>
      </c>
      <c r="O94" s="8">
        <f t="shared" si="16"/>
        <v>0.58625900967854028</v>
      </c>
      <c r="P94" s="8">
        <f t="shared" si="16"/>
        <v>0.58625900967854028</v>
      </c>
      <c r="Q94" s="8">
        <f t="shared" si="16"/>
        <v>0.58625900967854028</v>
      </c>
      <c r="R94" s="8">
        <f t="shared" si="16"/>
        <v>0.58625900967854028</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row>
    <row r="95" spans="1:43" x14ac:dyDescent="0.3">
      <c r="A95" t="s">
        <v>70</v>
      </c>
      <c r="D95" s="8">
        <f t="shared" ref="D95:K95" si="17">((2*$D$69-1-2*(D91-1))/(2*$D$69))*$D$7*$Q$26*10000000/($D$64*1000)</f>
        <v>5.4252754065719371</v>
      </c>
      <c r="E95" s="8">
        <f t="shared" si="17"/>
        <v>4.7019053523623446</v>
      </c>
      <c r="F95" s="8">
        <f t="shared" si="17"/>
        <v>3.9785352981527544</v>
      </c>
      <c r="G95" s="8">
        <f t="shared" si="17"/>
        <v>3.255165243943162</v>
      </c>
      <c r="H95" s="8">
        <f t="shared" si="17"/>
        <v>2.5317951897335709</v>
      </c>
      <c r="I95" s="8">
        <f t="shared" si="17"/>
        <v>1.8084251355239793</v>
      </c>
      <c r="J95" s="8">
        <f t="shared" si="17"/>
        <v>1.0850550813143875</v>
      </c>
      <c r="K95" s="8">
        <f t="shared" si="17"/>
        <v>0.36168502710479583</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row>
    <row r="96" spans="1:43" x14ac:dyDescent="0.3">
      <c r="A96" t="s">
        <v>71</v>
      </c>
      <c r="D96" s="8">
        <f t="shared" ref="D96:AQ96" si="18">D87*$D$88/($D$64*1000)</f>
        <v>0.50990087047876931</v>
      </c>
      <c r="E96" s="8">
        <f t="shared" si="18"/>
        <v>0.50788259197156149</v>
      </c>
      <c r="F96" s="8">
        <f t="shared" si="18"/>
        <v>0.50650153286566868</v>
      </c>
      <c r="G96" s="8">
        <f t="shared" si="18"/>
        <v>0.50578955413115689</v>
      </c>
      <c r="H96" s="8">
        <f t="shared" si="18"/>
        <v>0.50578010978659527</v>
      </c>
      <c r="I96" s="8">
        <f t="shared" si="18"/>
        <v>0.50650832655148137</v>
      </c>
      <c r="J96" s="8">
        <f t="shared" si="18"/>
        <v>0.50801108748128743</v>
      </c>
      <c r="K96" s="8">
        <f t="shared" si="18"/>
        <v>0.51032711978425949</v>
      </c>
      <c r="L96" s="8">
        <f t="shared" si="18"/>
        <v>0.52087842029581266</v>
      </c>
      <c r="M96" s="8">
        <f t="shared" si="18"/>
        <v>0.53970768576303851</v>
      </c>
      <c r="N96" s="8">
        <f t="shared" si="18"/>
        <v>0.55947841450362545</v>
      </c>
      <c r="O96" s="8">
        <f t="shared" si="18"/>
        <v>0.58023767968124185</v>
      </c>
      <c r="P96" s="8">
        <f t="shared" si="18"/>
        <v>0.60203490811773908</v>
      </c>
      <c r="Q96" s="8">
        <f t="shared" si="18"/>
        <v>0.62492199797606118</v>
      </c>
      <c r="R96" s="8">
        <f t="shared" si="18"/>
        <v>0.64895344232729923</v>
      </c>
      <c r="S96" s="8">
        <f t="shared" si="18"/>
        <v>0.66222198931082299</v>
      </c>
      <c r="T96" s="8">
        <f t="shared" si="18"/>
        <v>0.68871665670806292</v>
      </c>
      <c r="U96" s="8">
        <f t="shared" si="18"/>
        <v>0.64910066930866483</v>
      </c>
      <c r="V96" s="8">
        <f t="shared" si="18"/>
        <v>0.67831104011412213</v>
      </c>
      <c r="W96" s="8">
        <f t="shared" si="18"/>
        <v>0.70898192945985217</v>
      </c>
      <c r="X96" s="8">
        <f t="shared" si="18"/>
        <v>0.74118636327286869</v>
      </c>
      <c r="Y96" s="8">
        <f t="shared" si="18"/>
        <v>0.77500101877653615</v>
      </c>
      <c r="Z96" s="8">
        <f t="shared" si="18"/>
        <v>0.81050640705538668</v>
      </c>
      <c r="AA96" s="8">
        <f t="shared" si="18"/>
        <v>0.84778706474818</v>
      </c>
      <c r="AB96" s="8">
        <f t="shared" si="18"/>
        <v>0.88693175532561275</v>
      </c>
      <c r="AC96" s="8">
        <f t="shared" si="18"/>
        <v>0.92803368043191758</v>
      </c>
      <c r="AD96" s="8">
        <f t="shared" si="18"/>
        <v>0.97119070179353728</v>
      </c>
      <c r="AE96" s="8">
        <f t="shared" si="18"/>
        <v>1.0165055742232383</v>
      </c>
      <c r="AF96" s="8">
        <f t="shared" si="18"/>
        <v>1.0640861902744239</v>
      </c>
      <c r="AG96" s="8">
        <f t="shared" si="18"/>
        <v>1.1140458371281692</v>
      </c>
      <c r="AH96" s="8">
        <f t="shared" si="18"/>
        <v>1.1665034663246017</v>
      </c>
      <c r="AI96" s="8">
        <f t="shared" si="18"/>
        <v>1.2215839769808556</v>
      </c>
      <c r="AJ96" s="8">
        <f t="shared" si="18"/>
        <v>1.2794185131699223</v>
      </c>
      <c r="AK96" s="8">
        <f t="shared" si="18"/>
        <v>1.3401447761684424</v>
      </c>
      <c r="AL96" s="8">
        <f t="shared" si="18"/>
        <v>1.4039073523168886</v>
      </c>
      <c r="AM96" s="8">
        <f t="shared" si="18"/>
        <v>1.4708580572727568</v>
      </c>
      <c r="AN96" s="8">
        <f t="shared" si="18"/>
        <v>1.5411562974764188</v>
      </c>
      <c r="AO96" s="8">
        <f t="shared" si="18"/>
        <v>1.6149694496902636</v>
      </c>
      <c r="AP96" s="8">
        <f t="shared" si="18"/>
        <v>1.6924732595148007</v>
      </c>
      <c r="AQ96" s="8">
        <f t="shared" si="18"/>
        <v>1.7738522598305648</v>
      </c>
    </row>
    <row r="97" spans="1:43" x14ac:dyDescent="0.3">
      <c r="A97" t="s">
        <v>83</v>
      </c>
      <c r="D97" s="8">
        <f>$D$89</f>
        <v>0.02</v>
      </c>
      <c r="E97" s="8">
        <f t="shared" ref="E97:AQ97" si="19">$D$89</f>
        <v>0.02</v>
      </c>
      <c r="F97" s="8">
        <f t="shared" si="19"/>
        <v>0.02</v>
      </c>
      <c r="G97" s="8">
        <f t="shared" si="19"/>
        <v>0.02</v>
      </c>
      <c r="H97" s="8">
        <f t="shared" si="19"/>
        <v>0.02</v>
      </c>
      <c r="I97" s="8">
        <f t="shared" si="19"/>
        <v>0.02</v>
      </c>
      <c r="J97" s="8">
        <f t="shared" si="19"/>
        <v>0.02</v>
      </c>
      <c r="K97" s="8">
        <f t="shared" si="19"/>
        <v>0.02</v>
      </c>
      <c r="L97" s="8">
        <f t="shared" si="19"/>
        <v>0.02</v>
      </c>
      <c r="M97" s="8">
        <f t="shared" si="19"/>
        <v>0.02</v>
      </c>
      <c r="N97" s="8">
        <f t="shared" si="19"/>
        <v>0.02</v>
      </c>
      <c r="O97" s="8">
        <f t="shared" si="19"/>
        <v>0.02</v>
      </c>
      <c r="P97" s="8">
        <f t="shared" si="19"/>
        <v>0.02</v>
      </c>
      <c r="Q97" s="8">
        <f t="shared" si="19"/>
        <v>0.02</v>
      </c>
      <c r="R97" s="8">
        <f t="shared" si="19"/>
        <v>0.02</v>
      </c>
      <c r="S97" s="8">
        <f t="shared" si="19"/>
        <v>0.02</v>
      </c>
      <c r="T97" s="8">
        <f t="shared" si="19"/>
        <v>0.02</v>
      </c>
      <c r="U97" s="8">
        <f t="shared" si="19"/>
        <v>0.02</v>
      </c>
      <c r="V97" s="8">
        <f t="shared" si="19"/>
        <v>0.02</v>
      </c>
      <c r="W97" s="8">
        <f t="shared" si="19"/>
        <v>0.02</v>
      </c>
      <c r="X97" s="8">
        <f t="shared" si="19"/>
        <v>0.02</v>
      </c>
      <c r="Y97" s="8">
        <f t="shared" si="19"/>
        <v>0.02</v>
      </c>
      <c r="Z97" s="8">
        <f t="shared" si="19"/>
        <v>0.02</v>
      </c>
      <c r="AA97" s="8">
        <f t="shared" si="19"/>
        <v>0.02</v>
      </c>
      <c r="AB97" s="8">
        <f t="shared" si="19"/>
        <v>0.02</v>
      </c>
      <c r="AC97" s="8">
        <f t="shared" si="19"/>
        <v>0.02</v>
      </c>
      <c r="AD97" s="8">
        <f t="shared" si="19"/>
        <v>0.02</v>
      </c>
      <c r="AE97" s="8">
        <f t="shared" si="19"/>
        <v>0.02</v>
      </c>
      <c r="AF97" s="8">
        <f t="shared" si="19"/>
        <v>0.02</v>
      </c>
      <c r="AG97" s="8">
        <f t="shared" si="19"/>
        <v>0.02</v>
      </c>
      <c r="AH97" s="8">
        <f t="shared" si="19"/>
        <v>0.02</v>
      </c>
      <c r="AI97" s="8">
        <f t="shared" si="19"/>
        <v>0.02</v>
      </c>
      <c r="AJ97" s="8">
        <f t="shared" si="19"/>
        <v>0.02</v>
      </c>
      <c r="AK97" s="8">
        <f t="shared" si="19"/>
        <v>0.02</v>
      </c>
      <c r="AL97" s="8">
        <f t="shared" si="19"/>
        <v>0.02</v>
      </c>
      <c r="AM97" s="8">
        <f t="shared" si="19"/>
        <v>0.02</v>
      </c>
      <c r="AN97" s="8">
        <f t="shared" si="19"/>
        <v>0.02</v>
      </c>
      <c r="AO97" s="8">
        <f t="shared" si="19"/>
        <v>0.02</v>
      </c>
      <c r="AP97" s="8">
        <f t="shared" si="19"/>
        <v>0.02</v>
      </c>
      <c r="AQ97" s="8">
        <f t="shared" si="19"/>
        <v>0.02</v>
      </c>
    </row>
    <row r="98" spans="1:43" x14ac:dyDescent="0.3">
      <c r="A98" t="s">
        <v>84</v>
      </c>
      <c r="D98" s="8">
        <f>$Q$28*10000000*$D$66/($D$64*1000)</f>
        <v>3.3043330165397018</v>
      </c>
      <c r="E98" s="8">
        <f>$Q$28*10000000*$D$66/($D$64*1000)</f>
        <v>3.3043330165397018</v>
      </c>
      <c r="F98" s="8">
        <f t="shared" ref="F98:T98" si="20">$Q$28*10000000*$D$66/($D$64*1000)</f>
        <v>3.3043330165397018</v>
      </c>
      <c r="G98" s="8">
        <f t="shared" si="20"/>
        <v>3.3043330165397018</v>
      </c>
      <c r="H98" s="8">
        <f t="shared" si="20"/>
        <v>3.3043330165397018</v>
      </c>
      <c r="I98" s="8">
        <f t="shared" si="20"/>
        <v>3.3043330165397018</v>
      </c>
      <c r="J98" s="8">
        <f t="shared" si="20"/>
        <v>3.3043330165397018</v>
      </c>
      <c r="K98" s="8">
        <f t="shared" si="20"/>
        <v>3.3043330165397018</v>
      </c>
      <c r="L98" s="8">
        <f t="shared" si="20"/>
        <v>3.3043330165397018</v>
      </c>
      <c r="M98" s="8">
        <f t="shared" si="20"/>
        <v>3.3043330165397018</v>
      </c>
      <c r="N98" s="8">
        <f t="shared" si="20"/>
        <v>3.3043330165397018</v>
      </c>
      <c r="O98" s="8">
        <f t="shared" si="20"/>
        <v>3.3043330165397018</v>
      </c>
      <c r="P98" s="8">
        <f t="shared" si="20"/>
        <v>3.3043330165397018</v>
      </c>
      <c r="Q98" s="8">
        <f t="shared" si="20"/>
        <v>3.3043330165397018</v>
      </c>
      <c r="R98" s="8">
        <f t="shared" si="20"/>
        <v>3.3043330165397018</v>
      </c>
      <c r="S98" s="8">
        <f t="shared" si="20"/>
        <v>3.3043330165397018</v>
      </c>
      <c r="T98" s="8">
        <f t="shared" si="20"/>
        <v>3.3043330165397018</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0</v>
      </c>
    </row>
    <row r="99" spans="1:43" x14ac:dyDescent="0.3">
      <c r="A99" t="s">
        <v>87</v>
      </c>
      <c r="D99" s="8">
        <f>$D$65*$Q$28*10000000/(D64*1000)</f>
        <v>1.2516412941438264</v>
      </c>
      <c r="E99" s="8">
        <f>D99*(1+$D$9)</f>
        <v>1.3142233588510177</v>
      </c>
      <c r="F99" s="8">
        <f t="shared" ref="F99:AQ99" si="21">E99*(1+$D$9)</f>
        <v>1.3799345267935688</v>
      </c>
      <c r="G99" s="8">
        <f t="shared" si="21"/>
        <v>1.4489312531332472</v>
      </c>
      <c r="H99" s="8">
        <f t="shared" si="21"/>
        <v>1.5213778157899096</v>
      </c>
      <c r="I99" s="8">
        <f t="shared" si="21"/>
        <v>1.5974467065794051</v>
      </c>
      <c r="J99" s="8">
        <f t="shared" si="21"/>
        <v>1.6773190419083754</v>
      </c>
      <c r="K99" s="8">
        <f t="shared" si="21"/>
        <v>1.7611849940037942</v>
      </c>
      <c r="L99" s="8">
        <f t="shared" si="21"/>
        <v>1.849244243703984</v>
      </c>
      <c r="M99" s="8">
        <f t="shared" si="21"/>
        <v>1.9417064558891832</v>
      </c>
      <c r="N99" s="8">
        <f t="shared" si="21"/>
        <v>2.0387917786836423</v>
      </c>
      <c r="O99" s="8">
        <f t="shared" si="21"/>
        <v>2.1407313676178243</v>
      </c>
      <c r="P99" s="8">
        <f t="shared" si="21"/>
        <v>2.2477679359987155</v>
      </c>
      <c r="Q99" s="8">
        <f t="shared" si="21"/>
        <v>2.3601563327986512</v>
      </c>
      <c r="R99" s="8">
        <f t="shared" si="21"/>
        <v>2.4781641494385838</v>
      </c>
      <c r="S99" s="8">
        <f t="shared" si="21"/>
        <v>2.6020723569105129</v>
      </c>
      <c r="T99" s="8">
        <f t="shared" si="21"/>
        <v>2.7321759747560388</v>
      </c>
      <c r="U99" s="8">
        <f t="shared" si="21"/>
        <v>2.8687847734938408</v>
      </c>
      <c r="V99" s="8">
        <f t="shared" si="21"/>
        <v>3.0122240121685331</v>
      </c>
      <c r="W99" s="8">
        <f t="shared" si="21"/>
        <v>3.1628352127769599</v>
      </c>
      <c r="X99" s="8">
        <f t="shared" si="21"/>
        <v>3.3209769734158079</v>
      </c>
      <c r="Y99" s="8">
        <f t="shared" si="21"/>
        <v>3.4870258220865984</v>
      </c>
      <c r="Z99" s="8">
        <f t="shared" si="21"/>
        <v>3.6613771131909285</v>
      </c>
      <c r="AA99" s="8">
        <f t="shared" si="21"/>
        <v>3.8444459688504753</v>
      </c>
      <c r="AB99" s="8">
        <f t="shared" si="21"/>
        <v>4.036668267292999</v>
      </c>
      <c r="AC99" s="8">
        <f t="shared" si="21"/>
        <v>4.2385016806576488</v>
      </c>
      <c r="AD99" s="8">
        <f t="shared" si="21"/>
        <v>4.4504267646905316</v>
      </c>
      <c r="AE99" s="8">
        <f t="shared" si="21"/>
        <v>4.6729481029250586</v>
      </c>
      <c r="AF99" s="8">
        <f t="shared" si="21"/>
        <v>4.9065955080713115</v>
      </c>
      <c r="AG99" s="8">
        <f t="shared" si="21"/>
        <v>5.1519252834748777</v>
      </c>
      <c r="AH99" s="8">
        <f t="shared" si="21"/>
        <v>5.4095215476486214</v>
      </c>
      <c r="AI99" s="8">
        <f t="shared" si="21"/>
        <v>5.6799976250310529</v>
      </c>
      <c r="AJ99" s="8">
        <f t="shared" si="21"/>
        <v>5.9639975062826061</v>
      </c>
      <c r="AK99" s="8">
        <f t="shared" si="21"/>
        <v>6.2621973815967369</v>
      </c>
      <c r="AL99" s="8">
        <f t="shared" si="21"/>
        <v>6.5753072506765742</v>
      </c>
      <c r="AM99" s="8">
        <f t="shared" si="21"/>
        <v>6.9040726132104036</v>
      </c>
      <c r="AN99" s="8">
        <f t="shared" si="21"/>
        <v>7.2492762438709244</v>
      </c>
      <c r="AO99" s="8">
        <f t="shared" si="21"/>
        <v>7.6117400560644706</v>
      </c>
      <c r="AP99" s="8">
        <f t="shared" si="21"/>
        <v>7.9923270588676942</v>
      </c>
      <c r="AQ99" s="8">
        <f t="shared" si="21"/>
        <v>8.3919434118110789</v>
      </c>
    </row>
    <row r="100" spans="1:43" x14ac:dyDescent="0.3">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row>
    <row r="101" spans="1:43" x14ac:dyDescent="0.3">
      <c r="A101" t="s">
        <v>88</v>
      </c>
      <c r="D101" s="8">
        <f>SUM(D92:D99)</f>
        <v>15.032729513518593</v>
      </c>
      <c r="E101" s="8">
        <f t="shared" ref="E101:AQ101" si="22">SUM(E92:E99)</f>
        <v>14.408700622135507</v>
      </c>
      <c r="F101" s="8">
        <f t="shared" si="22"/>
        <v>13.790376922220425</v>
      </c>
      <c r="G101" s="8">
        <f t="shared" si="22"/>
        <v>13.178043673346737</v>
      </c>
      <c r="H101" s="8">
        <f t="shared" si="22"/>
        <v>12.572000398066525</v>
      </c>
      <c r="I101" s="8">
        <f t="shared" si="22"/>
        <v>11.972561595059457</v>
      </c>
      <c r="J101" s="8">
        <f t="shared" si="22"/>
        <v>11.38005748793919</v>
      </c>
      <c r="K101" s="8">
        <f t="shared" si="22"/>
        <v>10.794834811500067</v>
      </c>
      <c r="L101" s="8">
        <f t="shared" si="22"/>
        <v>10.586323997647693</v>
      </c>
      <c r="M101" s="8">
        <f t="shared" si="22"/>
        <v>10.75490732149283</v>
      </c>
      <c r="N101" s="8">
        <f t="shared" si="22"/>
        <v>10.931919811530227</v>
      </c>
      <c r="O101" s="8">
        <f t="shared" si="22"/>
        <v>11.117782926069491</v>
      </c>
      <c r="P101" s="8">
        <f t="shared" si="22"/>
        <v>11.312939196335723</v>
      </c>
      <c r="Q101" s="8">
        <f t="shared" si="22"/>
        <v>11.51785328011526</v>
      </c>
      <c r="R101" s="8">
        <f t="shared" si="22"/>
        <v>11.733013068083778</v>
      </c>
      <c r="S101" s="8">
        <f t="shared" si="22"/>
        <v>11.360707366186904</v>
      </c>
      <c r="T101" s="8">
        <f t="shared" si="22"/>
        <v>11.597921032422196</v>
      </c>
      <c r="U101" s="8">
        <f t="shared" si="22"/>
        <v>8.4752269772630466</v>
      </c>
      <c r="V101" s="8">
        <f t="shared" si="22"/>
        <v>8.7367550442874542</v>
      </c>
      <c r="W101" s="8">
        <f t="shared" si="22"/>
        <v>9.0113595146630825</v>
      </c>
      <c r="X101" s="8">
        <f t="shared" si="22"/>
        <v>9.2996942085574918</v>
      </c>
      <c r="Y101" s="8">
        <f t="shared" si="22"/>
        <v>9.6024456371466211</v>
      </c>
      <c r="Z101" s="8">
        <f t="shared" si="22"/>
        <v>9.9203346371652081</v>
      </c>
      <c r="AA101" s="8">
        <f t="shared" si="22"/>
        <v>10.254118087184725</v>
      </c>
      <c r="AB101" s="8">
        <f t="shared" si="22"/>
        <v>10.604590709705214</v>
      </c>
      <c r="AC101" s="8">
        <f t="shared" si="22"/>
        <v>10.972586963351731</v>
      </c>
      <c r="AD101" s="8">
        <f t="shared" si="22"/>
        <v>11.358983029680573</v>
      </c>
      <c r="AE101" s="8">
        <f t="shared" si="22"/>
        <v>11.764698899325857</v>
      </c>
      <c r="AF101" s="8">
        <f t="shared" si="22"/>
        <v>12.190700562453404</v>
      </c>
      <c r="AG101" s="8">
        <f t="shared" si="22"/>
        <v>12.638002308737331</v>
      </c>
      <c r="AH101" s="8">
        <f t="shared" si="22"/>
        <v>13.107669142335453</v>
      </c>
      <c r="AI101" s="8">
        <f t="shared" si="22"/>
        <v>13.600819317613482</v>
      </c>
      <c r="AJ101" s="8">
        <f t="shared" si="22"/>
        <v>14.118627001655412</v>
      </c>
      <c r="AK101" s="8">
        <f t="shared" si="22"/>
        <v>14.662325069899437</v>
      </c>
      <c r="AL101" s="8">
        <f t="shared" si="22"/>
        <v>15.233208041555667</v>
      </c>
      <c r="AM101" s="8">
        <f t="shared" si="22"/>
        <v>15.832635161794705</v>
      </c>
      <c r="AN101" s="8">
        <f t="shared" si="22"/>
        <v>16.462033638045696</v>
      </c>
      <c r="AO101" s="8">
        <f t="shared" si="22"/>
        <v>17.122902038109235</v>
      </c>
      <c r="AP101" s="8">
        <f t="shared" si="22"/>
        <v>17.816813858175951</v>
      </c>
      <c r="AQ101" s="8">
        <f t="shared" si="22"/>
        <v>18.545421269246006</v>
      </c>
    </row>
    <row r="102" spans="1:43" x14ac:dyDescent="0.3">
      <c r="A102" t="s">
        <v>104</v>
      </c>
      <c r="D102" s="8">
        <f>D101-D85</f>
        <v>-3.0008936846570577E-6</v>
      </c>
      <c r="E102" s="8">
        <f t="shared" ref="E102:AQ102" si="23">E101-E85</f>
        <v>-2.4164400596049518E-6</v>
      </c>
      <c r="F102" s="8">
        <f t="shared" si="23"/>
        <v>-1.8330603772653831E-6</v>
      </c>
      <c r="G102" s="8">
        <f t="shared" si="23"/>
        <v>-1.2508083493401045E-6</v>
      </c>
      <c r="H102" s="8">
        <f t="shared" si="23"/>
        <v>-6.697403449607009E-7</v>
      </c>
      <c r="I102" s="8">
        <f t="shared" si="23"/>
        <v>-8.9915568324272499E-8</v>
      </c>
      <c r="J102" s="8">
        <f t="shared" si="23"/>
        <v>4.8860381696158584E-7</v>
      </c>
      <c r="K102" s="8">
        <f t="shared" si="23"/>
        <v>1.065752542217524E-6</v>
      </c>
      <c r="L102" s="8">
        <f t="shared" si="23"/>
        <v>1.3384957782136553E-6</v>
      </c>
      <c r="M102" s="8">
        <f t="shared" si="23"/>
        <v>1.3067615647344155E-6</v>
      </c>
      <c r="N102" s="8">
        <f t="shared" si="23"/>
        <v>1.2734406453773772E-6</v>
      </c>
      <c r="O102" s="8">
        <f t="shared" si="23"/>
        <v>1.2384536773879518E-6</v>
      </c>
      <c r="P102" s="8">
        <f t="shared" si="23"/>
        <v>1.201717363841226E-6</v>
      </c>
      <c r="Q102" s="8">
        <f t="shared" si="23"/>
        <v>1.1631442262682867E-6</v>
      </c>
      <c r="R102" s="8">
        <f t="shared" si="23"/>
        <v>1.1226424412313918E-6</v>
      </c>
      <c r="S102" s="8">
        <f t="shared" si="23"/>
        <v>1.0801155614359459E-6</v>
      </c>
      <c r="T102" s="8">
        <f t="shared" si="23"/>
        <v>1.0354623416475306E-6</v>
      </c>
      <c r="U102" s="8">
        <f t="shared" si="23"/>
        <v>1.9921952638668472E-6</v>
      </c>
      <c r="V102" s="8">
        <f t="shared" si="23"/>
        <v>1.9429650865987469E-6</v>
      </c>
      <c r="W102" s="8">
        <f t="shared" si="23"/>
        <v>1.8912734010001486E-6</v>
      </c>
      <c r="X102" s="8">
        <f t="shared" si="23"/>
        <v>1.8369971304110777E-6</v>
      </c>
      <c r="Y102" s="8">
        <f t="shared" si="23"/>
        <v>1.7800070466478246E-6</v>
      </c>
      <c r="Z102" s="8">
        <f t="shared" si="23"/>
        <v>1.7201674591404981E-6</v>
      </c>
      <c r="AA102" s="8">
        <f t="shared" si="23"/>
        <v>1.6573358934124371E-6</v>
      </c>
      <c r="AB102" s="8">
        <f t="shared" si="23"/>
        <v>1.5913627446906276E-6</v>
      </c>
      <c r="AC102" s="8">
        <f t="shared" si="23"/>
        <v>1.522090942174259E-6</v>
      </c>
      <c r="AD102" s="8">
        <f t="shared" si="23"/>
        <v>1.4493555493544363E-6</v>
      </c>
      <c r="AE102" s="8">
        <f t="shared" si="23"/>
        <v>1.3729833874265296E-6</v>
      </c>
      <c r="AF102" s="8">
        <f t="shared" si="23"/>
        <v>1.292792614293603E-6</v>
      </c>
      <c r="AG102" s="8">
        <f t="shared" si="23"/>
        <v>1.2085923053462011E-6</v>
      </c>
      <c r="AH102" s="8">
        <f t="shared" si="23"/>
        <v>1.1201819827277859E-6</v>
      </c>
      <c r="AI102" s="8">
        <f t="shared" si="23"/>
        <v>1.0273511410474612E-6</v>
      </c>
      <c r="AJ102" s="8">
        <f t="shared" si="23"/>
        <v>9.2987876065819819E-7</v>
      </c>
      <c r="AK102" s="8">
        <f t="shared" si="23"/>
        <v>8.2753275698621565E-7</v>
      </c>
      <c r="AL102" s="8">
        <f t="shared" si="23"/>
        <v>7.2006945828206881E-7</v>
      </c>
      <c r="AM102" s="8">
        <f t="shared" si="23"/>
        <v>6.0723298744846943E-7</v>
      </c>
      <c r="AN102" s="8">
        <f t="shared" si="23"/>
        <v>4.8875469715881081E-7</v>
      </c>
      <c r="AO102" s="8">
        <f t="shared" si="23"/>
        <v>3.6435249128885516E-7</v>
      </c>
      <c r="AP102" s="8">
        <f t="shared" si="23"/>
        <v>2.3373017299377352E-7</v>
      </c>
      <c r="AQ102" s="8">
        <f t="shared" si="23"/>
        <v>9.6576744823551053E-8</v>
      </c>
    </row>
    <row r="103" spans="1:43" x14ac:dyDescent="0.3">
      <c r="D103" s="18"/>
    </row>
    <row r="104" spans="1:43" x14ac:dyDescent="0.3">
      <c r="A104" t="s">
        <v>102</v>
      </c>
    </row>
    <row r="105" spans="1:43" x14ac:dyDescent="0.3">
      <c r="A105" t="s">
        <v>94</v>
      </c>
      <c r="D105" s="16">
        <v>3.159769406776574</v>
      </c>
      <c r="E105" s="16">
        <v>3.159769406776574</v>
      </c>
      <c r="F105" s="16">
        <v>3.159769406776574</v>
      </c>
      <c r="G105" s="16">
        <v>3.159769406776574</v>
      </c>
      <c r="H105" s="16">
        <v>3.159769406776574</v>
      </c>
      <c r="I105" s="16">
        <v>3.159769406776574</v>
      </c>
      <c r="J105" s="16">
        <v>3.159769406776574</v>
      </c>
      <c r="K105" s="16">
        <v>3.159769406776574</v>
      </c>
      <c r="L105" s="16">
        <v>3.159769406776574</v>
      </c>
      <c r="M105" s="16">
        <v>3.159769406776574</v>
      </c>
      <c r="N105" s="16">
        <v>3.159769406776574</v>
      </c>
      <c r="O105" s="16">
        <v>3.159769406776574</v>
      </c>
      <c r="P105" s="16">
        <v>3.159769406776574</v>
      </c>
      <c r="Q105" s="16">
        <v>3.159769406776574</v>
      </c>
      <c r="R105" s="16">
        <v>3.159769406776574</v>
      </c>
      <c r="S105" s="16">
        <v>3.159769406776574</v>
      </c>
      <c r="T105" s="16">
        <v>3.159769406776574</v>
      </c>
      <c r="U105" s="16">
        <v>3.159769406776574</v>
      </c>
      <c r="V105" s="16">
        <v>3.159769406776574</v>
      </c>
      <c r="W105" s="16">
        <v>3.159769406776574</v>
      </c>
      <c r="X105" s="16">
        <v>3.159769406776574</v>
      </c>
      <c r="Y105" s="16">
        <v>3.159769406776574</v>
      </c>
      <c r="Z105" s="16">
        <v>3.159769406776574</v>
      </c>
      <c r="AA105" s="16">
        <v>3.159769406776574</v>
      </c>
      <c r="AB105" s="16">
        <v>3.159769406776574</v>
      </c>
      <c r="AC105" s="16">
        <v>3.159769406776574</v>
      </c>
      <c r="AD105" s="16">
        <v>3.159769406776574</v>
      </c>
      <c r="AE105" s="16">
        <v>3.159769406776574</v>
      </c>
      <c r="AF105" s="16">
        <v>3.159769406776574</v>
      </c>
      <c r="AG105" s="16">
        <v>3.159769406776574</v>
      </c>
      <c r="AH105" s="16">
        <v>3.159769406776574</v>
      </c>
      <c r="AI105" s="16">
        <v>3.159769406776574</v>
      </c>
      <c r="AJ105" s="16">
        <v>3.159769406776574</v>
      </c>
      <c r="AK105" s="16">
        <v>3.159769406776574</v>
      </c>
      <c r="AL105" s="16">
        <v>3.159769406776574</v>
      </c>
      <c r="AM105" s="16">
        <v>3.159769406776574</v>
      </c>
      <c r="AN105" s="16">
        <v>3.159769406776574</v>
      </c>
      <c r="AO105" s="16">
        <v>3.159769406776574</v>
      </c>
      <c r="AP105" s="16">
        <v>3.159769406776574</v>
      </c>
      <c r="AQ105" s="16">
        <v>3.159769406776574</v>
      </c>
    </row>
    <row r="106" spans="1:43" x14ac:dyDescent="0.3">
      <c r="A106" t="s">
        <v>95</v>
      </c>
      <c r="D106" s="16">
        <v>5.4252799510663561</v>
      </c>
      <c r="E106" s="16">
        <v>4.7019092909241751</v>
      </c>
      <c r="F106" s="16">
        <v>3.978538630781995</v>
      </c>
      <c r="G106" s="16">
        <v>3.2551679706398136</v>
      </c>
      <c r="H106" s="16">
        <v>2.531797310497633</v>
      </c>
      <c r="I106" s="16">
        <v>1.8084266503554518</v>
      </c>
      <c r="J106" s="16">
        <v>1.0850559902132713</v>
      </c>
      <c r="K106" s="16">
        <v>0.36168533007109044</v>
      </c>
      <c r="L106" s="16">
        <v>0</v>
      </c>
      <c r="M106" s="16">
        <v>0</v>
      </c>
      <c r="N106" s="16">
        <v>0</v>
      </c>
      <c r="O106" s="16">
        <v>0</v>
      </c>
      <c r="P106" s="16">
        <v>0</v>
      </c>
      <c r="Q106" s="16">
        <v>0</v>
      </c>
      <c r="R106" s="16">
        <v>0</v>
      </c>
      <c r="S106" s="16">
        <v>0</v>
      </c>
      <c r="T106" s="16">
        <v>0</v>
      </c>
      <c r="U106" s="16">
        <v>0</v>
      </c>
      <c r="V106" s="16">
        <v>0</v>
      </c>
      <c r="W106" s="16">
        <v>0</v>
      </c>
      <c r="X106" s="16">
        <v>0</v>
      </c>
      <c r="Y106" s="16">
        <v>0</v>
      </c>
      <c r="Z106" s="16">
        <v>0</v>
      </c>
      <c r="AA106" s="16">
        <v>0</v>
      </c>
      <c r="AB106" s="16">
        <v>0</v>
      </c>
      <c r="AC106" s="16">
        <v>0</v>
      </c>
      <c r="AD106" s="16">
        <v>0</v>
      </c>
      <c r="AE106" s="16">
        <v>0</v>
      </c>
      <c r="AF106" s="16">
        <v>0</v>
      </c>
      <c r="AG106" s="16">
        <v>0</v>
      </c>
      <c r="AH106" s="16">
        <v>0</v>
      </c>
      <c r="AI106" s="16">
        <v>0</v>
      </c>
      <c r="AJ106" s="16">
        <v>0</v>
      </c>
      <c r="AK106" s="16">
        <v>0</v>
      </c>
      <c r="AL106" s="16">
        <v>0</v>
      </c>
      <c r="AM106" s="16">
        <v>0</v>
      </c>
      <c r="AN106" s="16">
        <v>0</v>
      </c>
      <c r="AO106" s="16">
        <v>0</v>
      </c>
      <c r="AP106" s="16">
        <v>0</v>
      </c>
      <c r="AQ106" s="16">
        <v>0</v>
      </c>
    </row>
    <row r="107" spans="1:43" x14ac:dyDescent="0.3">
      <c r="A107" t="s">
        <v>96</v>
      </c>
      <c r="D107" s="16">
        <v>3.3043340201585081</v>
      </c>
      <c r="E107" s="16">
        <v>3.3043340201585081</v>
      </c>
      <c r="F107" s="16">
        <v>3.3043340201585081</v>
      </c>
      <c r="G107" s="16">
        <v>3.3043340201585081</v>
      </c>
      <c r="H107" s="16">
        <v>3.3043340201585081</v>
      </c>
      <c r="I107" s="16">
        <v>3.3043340201585081</v>
      </c>
      <c r="J107" s="16">
        <v>3.3043340201585081</v>
      </c>
      <c r="K107" s="16">
        <v>3.3043340201585081</v>
      </c>
      <c r="L107" s="16">
        <v>3.3043340201585081</v>
      </c>
      <c r="M107" s="16">
        <v>3.3043340201585081</v>
      </c>
      <c r="N107" s="16">
        <v>3.3043340201585081</v>
      </c>
      <c r="O107" s="16">
        <v>3.3043340201585081</v>
      </c>
      <c r="P107" s="16">
        <v>3.3043340201585081</v>
      </c>
      <c r="Q107" s="16">
        <v>3.3043340201585081</v>
      </c>
      <c r="R107" s="16">
        <v>3.3043340201585081</v>
      </c>
      <c r="S107" s="16">
        <v>3.3043340201585081</v>
      </c>
      <c r="T107" s="16">
        <v>3.3043340201585081</v>
      </c>
      <c r="U107" s="16">
        <v>0</v>
      </c>
      <c r="V107" s="16">
        <v>0</v>
      </c>
      <c r="W107" s="16">
        <v>0</v>
      </c>
      <c r="X107" s="16">
        <v>0</v>
      </c>
      <c r="Y107" s="16">
        <v>0</v>
      </c>
      <c r="Z107" s="16">
        <v>0</v>
      </c>
      <c r="AA107" s="16">
        <v>0</v>
      </c>
      <c r="AB107" s="16">
        <v>0</v>
      </c>
      <c r="AC107" s="16">
        <v>0</v>
      </c>
      <c r="AD107" s="16">
        <v>0</v>
      </c>
      <c r="AE107" s="16">
        <v>0</v>
      </c>
      <c r="AF107" s="16">
        <v>0</v>
      </c>
      <c r="AG107" s="16">
        <v>0</v>
      </c>
      <c r="AH107" s="16">
        <v>0</v>
      </c>
      <c r="AI107" s="16">
        <v>0</v>
      </c>
      <c r="AJ107" s="16">
        <v>0</v>
      </c>
      <c r="AK107" s="16">
        <v>0</v>
      </c>
      <c r="AL107" s="16">
        <v>0</v>
      </c>
      <c r="AM107" s="16">
        <v>0</v>
      </c>
      <c r="AN107" s="16">
        <v>0</v>
      </c>
      <c r="AO107" s="16">
        <v>0</v>
      </c>
      <c r="AP107" s="16">
        <v>0</v>
      </c>
      <c r="AQ107" s="16">
        <v>0</v>
      </c>
    </row>
    <row r="108" spans="1:43" x14ac:dyDescent="0.3">
      <c r="A108" t="s">
        <v>97</v>
      </c>
      <c r="D108" s="16">
        <v>1.2516416743024652</v>
      </c>
      <c r="E108" s="16">
        <v>1.3142237580175884</v>
      </c>
      <c r="F108" s="16">
        <v>1.379934945918468</v>
      </c>
      <c r="G108" s="16">
        <v>1.4489316932143914</v>
      </c>
      <c r="H108" s="16">
        <v>1.521378277875111</v>
      </c>
      <c r="I108" s="16">
        <v>1.5974471917688668</v>
      </c>
      <c r="J108" s="16">
        <v>1.6773195513573103</v>
      </c>
      <c r="K108" s="16">
        <v>1.7611855289251759</v>
      </c>
      <c r="L108" s="16">
        <v>1.8492448053714348</v>
      </c>
      <c r="M108" s="16">
        <v>1.9417070456400065</v>
      </c>
      <c r="N108" s="16">
        <v>2.0387923979220068</v>
      </c>
      <c r="O108" s="16">
        <v>2.1407320178181073</v>
      </c>
      <c r="P108" s="16">
        <v>2.2477686187090127</v>
      </c>
      <c r="Q108" s="16">
        <v>2.3601570496444633</v>
      </c>
      <c r="R108" s="16">
        <v>2.4781649021266872</v>
      </c>
      <c r="S108" s="16">
        <v>2.6020731472330212</v>
      </c>
      <c r="T108" s="16">
        <v>2.7321768045946722</v>
      </c>
      <c r="U108" s="16">
        <v>2.8687856448244062</v>
      </c>
      <c r="V108" s="16">
        <v>3.0122249270656263</v>
      </c>
      <c r="W108" s="16">
        <v>3.1628361734189081</v>
      </c>
      <c r="X108" s="16">
        <v>3.3209779820898535</v>
      </c>
      <c r="Y108" s="16">
        <v>3.4870268811943466</v>
      </c>
      <c r="Z108" s="16">
        <v>3.6613782252540639</v>
      </c>
      <c r="AA108" s="16">
        <v>3.8444471365167674</v>
      </c>
      <c r="AB108" s="16">
        <v>4.0366694933426057</v>
      </c>
      <c r="AC108" s="16">
        <v>4.2385029680097359</v>
      </c>
      <c r="AD108" s="16">
        <v>4.4504281164102233</v>
      </c>
      <c r="AE108" s="16">
        <v>4.6729495222307342</v>
      </c>
      <c r="AF108" s="16">
        <v>4.9065969983422715</v>
      </c>
      <c r="AG108" s="16">
        <v>5.1519268482593858</v>
      </c>
      <c r="AH108" s="16">
        <v>5.4095231906723553</v>
      </c>
      <c r="AI108" s="16">
        <v>5.6799993502059731</v>
      </c>
      <c r="AJ108" s="16">
        <v>5.9639993177162713</v>
      </c>
      <c r="AK108" s="16">
        <v>6.2621992836020848</v>
      </c>
      <c r="AL108" s="16">
        <v>6.5753092477821893</v>
      </c>
      <c r="AM108" s="16">
        <v>6.9040747101713</v>
      </c>
      <c r="AN108" s="16">
        <v>7.2492784456798649</v>
      </c>
      <c r="AO108" s="16">
        <v>7.6117423679638589</v>
      </c>
      <c r="AP108" s="16">
        <v>7.9923294863620526</v>
      </c>
      <c r="AQ108" s="16">
        <v>8.3919459606801539</v>
      </c>
    </row>
    <row r="109" spans="1:43" x14ac:dyDescent="0.3">
      <c r="A109" t="s">
        <v>98</v>
      </c>
      <c r="D109" s="16">
        <v>0.77554753253044129</v>
      </c>
      <c r="E109" s="16">
        <v>0.81432490915696332</v>
      </c>
      <c r="F109" s="16">
        <v>0.85504115461481167</v>
      </c>
      <c r="G109" s="16">
        <v>0.89779321234555221</v>
      </c>
      <c r="H109" s="16">
        <v>0.94268287296282993</v>
      </c>
      <c r="I109" s="16">
        <v>0.98981701661097155</v>
      </c>
      <c r="J109" s="16">
        <v>1.0393078674415202</v>
      </c>
      <c r="K109" s="16">
        <v>1.0912732608135962</v>
      </c>
      <c r="L109" s="16">
        <v>1.145836923854276</v>
      </c>
      <c r="M109" s="16">
        <v>1.2031287700469897</v>
      </c>
      <c r="N109" s="16">
        <v>1.2632852085493393</v>
      </c>
      <c r="O109" s="16">
        <v>1.3264494689768063</v>
      </c>
      <c r="P109" s="16">
        <v>1.3927719424256471</v>
      </c>
      <c r="Q109" s="16">
        <v>1.4624105395469293</v>
      </c>
      <c r="R109" s="16">
        <v>1.5355310665242756</v>
      </c>
      <c r="S109" s="16">
        <v>1.6123076198504898</v>
      </c>
      <c r="T109" s="16">
        <v>1.6929230008430141</v>
      </c>
      <c r="U109" s="16">
        <v>1.777569150885165</v>
      </c>
      <c r="V109" s="16">
        <v>1.8664476084294233</v>
      </c>
      <c r="W109" s="16">
        <v>1.9597699888508944</v>
      </c>
      <c r="X109" s="16">
        <v>2.0577584882934392</v>
      </c>
      <c r="Y109" s="16">
        <v>2.1606464127081115</v>
      </c>
      <c r="Z109" s="16">
        <v>2.268678733343517</v>
      </c>
      <c r="AA109" s="16">
        <v>2.3821126700106934</v>
      </c>
      <c r="AB109" s="16">
        <v>2.5012183035112274</v>
      </c>
      <c r="AC109" s="16">
        <v>2.6262792186867898</v>
      </c>
      <c r="AD109" s="16">
        <v>2.7575931796211295</v>
      </c>
      <c r="AE109" s="16">
        <v>2.8954728386021857</v>
      </c>
      <c r="AF109" s="16">
        <v>3.0402464805322946</v>
      </c>
      <c r="AG109" s="16">
        <v>3.1922588045589104</v>
      </c>
      <c r="AH109" s="16">
        <v>3.3518717447868553</v>
      </c>
      <c r="AI109" s="16">
        <v>3.5194653320261979</v>
      </c>
      <c r="AJ109" s="16">
        <v>3.6954385986275078</v>
      </c>
      <c r="AK109" s="16">
        <v>3.8802105285588837</v>
      </c>
      <c r="AL109" s="16">
        <v>4.0742210549868281</v>
      </c>
      <c r="AM109" s="16">
        <v>4.2779321077361701</v>
      </c>
      <c r="AN109" s="16">
        <v>4.4918287131229784</v>
      </c>
      <c r="AO109" s="16">
        <v>4.716420148779128</v>
      </c>
      <c r="AP109" s="16">
        <v>4.9522411562180846</v>
      </c>
      <c r="AQ109" s="16">
        <v>5.1998532140289884</v>
      </c>
    </row>
    <row r="110" spans="1:43" x14ac:dyDescent="0.3">
      <c r="A110" t="s">
        <v>99</v>
      </c>
      <c r="D110" s="16">
        <v>0.58625900967854094</v>
      </c>
      <c r="E110" s="16">
        <v>0.58625900967854094</v>
      </c>
      <c r="F110" s="16">
        <v>0.58625900967854094</v>
      </c>
      <c r="G110" s="16">
        <v>0.58625900967854094</v>
      </c>
      <c r="H110" s="16">
        <v>0.58625900967854094</v>
      </c>
      <c r="I110" s="16">
        <v>0.58625900967854094</v>
      </c>
      <c r="J110" s="16">
        <v>0.58625900967854094</v>
      </c>
      <c r="K110" s="16">
        <v>0.58625900967854094</v>
      </c>
      <c r="L110" s="16">
        <v>0.58625900967854094</v>
      </c>
      <c r="M110" s="16">
        <v>0.58625900967854094</v>
      </c>
      <c r="N110" s="16">
        <v>0.58625900967854094</v>
      </c>
      <c r="O110" s="16">
        <v>0.58625900967854094</v>
      </c>
      <c r="P110" s="16">
        <v>0.58625900967854094</v>
      </c>
      <c r="Q110" s="16">
        <v>0.58625900967854094</v>
      </c>
      <c r="R110" s="16">
        <v>0.58625900967854094</v>
      </c>
      <c r="S110" s="16">
        <v>0</v>
      </c>
      <c r="T110" s="16">
        <v>0</v>
      </c>
      <c r="U110" s="16">
        <v>0</v>
      </c>
      <c r="V110" s="16">
        <v>0</v>
      </c>
      <c r="W110" s="16">
        <v>0</v>
      </c>
      <c r="X110" s="16">
        <v>0</v>
      </c>
      <c r="Y110" s="16">
        <v>0</v>
      </c>
      <c r="Z110" s="16">
        <v>0</v>
      </c>
      <c r="AA110" s="16">
        <v>0</v>
      </c>
      <c r="AB110" s="16">
        <v>0</v>
      </c>
      <c r="AC110" s="16">
        <v>0</v>
      </c>
      <c r="AD110" s="16">
        <v>0</v>
      </c>
      <c r="AE110" s="16">
        <v>0</v>
      </c>
      <c r="AF110" s="16">
        <v>0</v>
      </c>
      <c r="AG110" s="16">
        <v>0</v>
      </c>
      <c r="AH110" s="16">
        <v>0</v>
      </c>
      <c r="AI110" s="16">
        <v>0</v>
      </c>
      <c r="AJ110" s="16">
        <v>0</v>
      </c>
      <c r="AK110" s="16">
        <v>0</v>
      </c>
      <c r="AL110" s="16">
        <v>0</v>
      </c>
      <c r="AM110" s="16">
        <v>0</v>
      </c>
      <c r="AN110" s="16">
        <v>0</v>
      </c>
      <c r="AO110" s="16">
        <v>0</v>
      </c>
      <c r="AP110" s="16">
        <v>0</v>
      </c>
      <c r="AQ110" s="16">
        <v>0</v>
      </c>
    </row>
    <row r="111" spans="1:43" x14ac:dyDescent="0.3">
      <c r="A111" t="s">
        <v>100</v>
      </c>
      <c r="D111" s="16">
        <v>0.50990091989939257</v>
      </c>
      <c r="E111" s="16">
        <v>0.50788264386321569</v>
      </c>
      <c r="F111" s="16">
        <v>0.50650158735190554</v>
      </c>
      <c r="G111" s="16">
        <v>0.50578961134170575</v>
      </c>
      <c r="H111" s="16">
        <v>0.50578016985767149</v>
      </c>
      <c r="I111" s="16">
        <v>0.50650838962611155</v>
      </c>
      <c r="J111" s="16">
        <v>0.508011153709649</v>
      </c>
      <c r="K111" s="16">
        <v>0.51032718932403909</v>
      </c>
      <c r="L111" s="16">
        <v>0.5208784933125814</v>
      </c>
      <c r="M111" s="16">
        <v>0.53970776243064555</v>
      </c>
      <c r="N111" s="16">
        <v>0.55947849500461277</v>
      </c>
      <c r="O111" s="16">
        <v>0.58023776420727857</v>
      </c>
      <c r="P111" s="16">
        <v>0.60203499687007767</v>
      </c>
      <c r="Q111" s="16">
        <v>0.6249220911660166</v>
      </c>
      <c r="R111" s="16">
        <v>0.64895354017675255</v>
      </c>
      <c r="S111" s="16">
        <v>0.66222209205274896</v>
      </c>
      <c r="T111" s="16">
        <v>0.68871676458708531</v>
      </c>
      <c r="U111" s="16">
        <v>0.64910078258163828</v>
      </c>
      <c r="V111" s="16">
        <v>0.67831115905074424</v>
      </c>
      <c r="W111" s="16">
        <v>0.70898205434330541</v>
      </c>
      <c r="X111" s="16">
        <v>0.74118649440049444</v>
      </c>
      <c r="Y111" s="16">
        <v>0.77500115646054324</v>
      </c>
      <c r="Z111" s="16">
        <v>0.81050655162359431</v>
      </c>
      <c r="AA111" s="16">
        <v>0.84778721654479805</v>
      </c>
      <c r="AB111" s="16">
        <v>0.88693191471206168</v>
      </c>
      <c r="AC111" s="16">
        <v>0.92803384778768894</v>
      </c>
      <c r="AD111" s="16">
        <v>0.97119087751709721</v>
      </c>
      <c r="AE111" s="16">
        <v>1.016505758732976</v>
      </c>
      <c r="AF111" s="16">
        <v>1.0640863840096488</v>
      </c>
      <c r="AG111" s="16">
        <v>1.1140460405501553</v>
      </c>
      <c r="AH111" s="16">
        <v>1.1665036799176869</v>
      </c>
      <c r="AI111" s="16">
        <v>1.2215842012535951</v>
      </c>
      <c r="AJ111" s="16">
        <v>1.2794187486562989</v>
      </c>
      <c r="AK111" s="16">
        <v>1.3401450234291377</v>
      </c>
      <c r="AL111" s="16">
        <v>1.4039076119406184</v>
      </c>
      <c r="AM111" s="16">
        <v>1.4708583298776736</v>
      </c>
      <c r="AN111" s="16">
        <v>1.5411565837115808</v>
      </c>
      <c r="AO111" s="16">
        <v>1.614969750237184</v>
      </c>
      <c r="AP111" s="16">
        <v>1.6924735750890674</v>
      </c>
      <c r="AQ111" s="16">
        <v>1.7738525911835445</v>
      </c>
    </row>
    <row r="112" spans="1:43" x14ac:dyDescent="0.3">
      <c r="A112" t="s">
        <v>101</v>
      </c>
      <c r="D112" s="16">
        <v>0.02</v>
      </c>
      <c r="E112" s="16">
        <v>0.02</v>
      </c>
      <c r="F112" s="16">
        <v>0.02</v>
      </c>
      <c r="G112" s="16">
        <v>0.02</v>
      </c>
      <c r="H112" s="16">
        <v>0.02</v>
      </c>
      <c r="I112" s="16">
        <v>0.02</v>
      </c>
      <c r="J112" s="16">
        <v>0.02</v>
      </c>
      <c r="K112" s="16">
        <v>0.02</v>
      </c>
      <c r="L112" s="16">
        <v>0.02</v>
      </c>
      <c r="M112" s="16">
        <v>0.02</v>
      </c>
      <c r="N112" s="16">
        <v>0.02</v>
      </c>
      <c r="O112" s="16">
        <v>0.02</v>
      </c>
      <c r="P112" s="16">
        <v>0.02</v>
      </c>
      <c r="Q112" s="16">
        <v>0.02</v>
      </c>
      <c r="R112" s="16">
        <v>0.02</v>
      </c>
      <c r="S112" s="16">
        <v>0.02</v>
      </c>
      <c r="T112" s="16">
        <v>0.02</v>
      </c>
      <c r="U112" s="16">
        <v>0.02</v>
      </c>
      <c r="V112" s="16">
        <v>0.02</v>
      </c>
      <c r="W112" s="16">
        <v>0.02</v>
      </c>
      <c r="X112" s="16">
        <v>0.02</v>
      </c>
      <c r="Y112" s="16">
        <v>0.02</v>
      </c>
      <c r="Z112" s="16">
        <v>0.02</v>
      </c>
      <c r="AA112" s="16">
        <v>0.02</v>
      </c>
      <c r="AB112" s="16">
        <v>0.02</v>
      </c>
      <c r="AC112" s="16">
        <v>0.02</v>
      </c>
      <c r="AD112" s="16">
        <v>0.02</v>
      </c>
      <c r="AE112" s="16">
        <v>0.02</v>
      </c>
      <c r="AF112" s="16">
        <v>0.02</v>
      </c>
      <c r="AG112" s="16">
        <v>0.02</v>
      </c>
      <c r="AH112" s="16">
        <v>0.02</v>
      </c>
      <c r="AI112" s="16">
        <v>0.02</v>
      </c>
      <c r="AJ112" s="16">
        <v>0.02</v>
      </c>
      <c r="AK112" s="16">
        <v>0.02</v>
      </c>
      <c r="AL112" s="16">
        <v>0.02</v>
      </c>
      <c r="AM112" s="16">
        <v>0.02</v>
      </c>
      <c r="AN112" s="16">
        <v>0.02</v>
      </c>
      <c r="AO112" s="16">
        <v>0.02</v>
      </c>
      <c r="AP112" s="16">
        <v>0.02</v>
      </c>
      <c r="AQ112" s="16">
        <v>0.02</v>
      </c>
    </row>
    <row r="113" spans="1:43" x14ac:dyDescent="0.3">
      <c r="A113" t="s">
        <v>105</v>
      </c>
      <c r="D113" s="16">
        <v>15.032732514412277</v>
      </c>
      <c r="E113" s="16">
        <v>14.408703038575567</v>
      </c>
      <c r="F113" s="16">
        <v>13.790378755280802</v>
      </c>
      <c r="G113" s="16">
        <v>13.178044924155087</v>
      </c>
      <c r="H113" s="16">
        <v>12.57200106780687</v>
      </c>
      <c r="I113" s="16">
        <v>11.972561684975025</v>
      </c>
      <c r="J113" s="16">
        <v>11.380056999335373</v>
      </c>
      <c r="K113" s="16">
        <v>10.794833745747525</v>
      </c>
      <c r="L113" s="16">
        <v>10.586322659151914</v>
      </c>
      <c r="M113" s="16">
        <v>10.754906014731265</v>
      </c>
      <c r="N113" s="16">
        <v>10.931918538089581</v>
      </c>
      <c r="O113" s="16">
        <v>11.117781687615814</v>
      </c>
      <c r="P113" s="16">
        <v>11.312937994618359</v>
      </c>
      <c r="Q113" s="16">
        <v>11.517852116971033</v>
      </c>
      <c r="R113" s="16">
        <v>11.733011945441337</v>
      </c>
      <c r="S113" s="16">
        <v>11.360706286071343</v>
      </c>
      <c r="T113" s="16">
        <v>11.597919996959854</v>
      </c>
      <c r="U113" s="16">
        <v>8.4752249850677828</v>
      </c>
      <c r="V113" s="16">
        <v>8.7367531013223676</v>
      </c>
      <c r="W113" s="16">
        <v>9.0113576233896815</v>
      </c>
      <c r="X113" s="16">
        <v>9.2996923715603614</v>
      </c>
      <c r="Y113" s="16">
        <v>9.6024438571395745</v>
      </c>
      <c r="Z113" s="16">
        <v>9.920332916997749</v>
      </c>
      <c r="AA113" s="16">
        <v>10.254116429848832</v>
      </c>
      <c r="AB113" s="16">
        <v>10.604589118342469</v>
      </c>
      <c r="AC113" s="16">
        <v>10.972585441260788</v>
      </c>
      <c r="AD113" s="16">
        <v>11.358981580325024</v>
      </c>
      <c r="AE113" s="16">
        <v>11.76469752634247</v>
      </c>
      <c r="AF113" s="16">
        <v>12.19069926966079</v>
      </c>
      <c r="AG113" s="16">
        <v>12.638001100145026</v>
      </c>
      <c r="AH113" s="16">
        <v>13.10766802215347</v>
      </c>
      <c r="AI113" s="16">
        <v>13.600818290262341</v>
      </c>
      <c r="AJ113" s="16">
        <v>14.118626071776651</v>
      </c>
      <c r="AK113" s="16">
        <v>14.66232424236668</v>
      </c>
      <c r="AL113" s="16">
        <v>15.233207321486208</v>
      </c>
      <c r="AM113" s="16">
        <v>15.832634554561718</v>
      </c>
      <c r="AN113" s="16">
        <v>16.462033149290999</v>
      </c>
      <c r="AO113" s="16">
        <v>17.122901673756743</v>
      </c>
      <c r="AP113" s="16">
        <v>17.816813624445778</v>
      </c>
      <c r="AQ113" s="16">
        <v>18.545421172669261</v>
      </c>
    </row>
    <row r="114" spans="1:43" x14ac:dyDescent="0.3">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row>
    <row r="115" spans="1:43" x14ac:dyDescent="0.3">
      <c r="A115" t="s">
        <v>107</v>
      </c>
      <c r="D115" s="16">
        <f>1/(1 + discountrate)^(D91-1)</f>
        <v>1</v>
      </c>
      <c r="E115" s="16">
        <f>1/(1 + discountrate)^(E91-1)</f>
        <v>0.89668486638050471</v>
      </c>
      <c r="F115" s="16">
        <f>1/(1 + discountrate)^(F91-1)</f>
        <v>0.80404374959582359</v>
      </c>
      <c r="G115" s="16">
        <f>1/(1 + discountrate)^(G91-1)</f>
        <v>0.72097386217041093</v>
      </c>
      <c r="H115" s="16">
        <f>1/(1 + discountrate)^(H91-1)</f>
        <v>0.64648635126411136</v>
      </c>
      <c r="I115" s="16">
        <f>1/(1 + discountrate)^(I91-1)</f>
        <v>0.57969452750007977</v>
      </c>
      <c r="J115" s="16">
        <f>1/(1 + discountrate)^(J91-1)</f>
        <v>0.51980330993291879</v>
      </c>
      <c r="K115" s="16">
        <f>1/(1 + discountrate)^(K91-1)</f>
        <v>0.4660997615113433</v>
      </c>
      <c r="L115" s="16">
        <f>1/(1 + discountrate)^(L91-1)</f>
        <v>0.41794460237078401</v>
      </c>
      <c r="M115" s="16">
        <f>1/(1 + discountrate)^(M91-1)</f>
        <v>0.37476459993129962</v>
      </c>
      <c r="N115" s="16">
        <f>1/(1 + discountrate)^(N91-1)</f>
        <v>0.33604574521354069</v>
      </c>
      <c r="O115" s="16">
        <f>1/(1 + discountrate)^(O91-1)</f>
        <v>0.30132713414454082</v>
      </c>
      <c r="P115" s="16">
        <f>1/(1 + discountrate)^(P91-1)</f>
        <v>0.27019548101721802</v>
      </c>
      <c r="Q115" s="16">
        <f>1/(1 + discountrate)^(Q91-1)</f>
        <v>0.24228019879254034</v>
      </c>
      <c r="R115" s="16">
        <f>1/(1 + discountrate)^(R91-1)</f>
        <v>0.21724898768093112</v>
      </c>
      <c r="S115" s="16">
        <f>1/(1 + discountrate)^(S91-1)</f>
        <v>0.19480387948997563</v>
      </c>
      <c r="T115" s="16">
        <f>1/(1 + discountrate)^(T91-1)</f>
        <v>0.17467769065087274</v>
      </c>
      <c r="U115" s="16">
        <f>1/(1 + discountrate)^(U91-1)</f>
        <v>0.15663084170093294</v>
      </c>
      <c r="V115" s="16">
        <f>1/(1 + discountrate)^(V91-1)</f>
        <v>0.14044850536166703</v>
      </c>
      <c r="W115" s="16">
        <f>1/(1 + discountrate)^(W91-1)</f>
        <v>0.125938049263568</v>
      </c>
      <c r="X115" s="16">
        <f>1/(1 + discountrate)^(X91-1)</f>
        <v>0.11292674287612389</v>
      </c>
      <c r="Y115" s="16">
        <f>1/(1 + discountrate)^(Y91-1)</f>
        <v>0.10125970134666278</v>
      </c>
      <c r="Z115" s="16">
        <f>1/(1 + discountrate)^(Z91-1)</f>
        <v>9.0798041771762109E-2</v>
      </c>
      <c r="AA115" s="16">
        <f>1/(1 + discountrate)^(AA91-1)</f>
        <v>8.1417229953723996E-2</v>
      </c>
      <c r="AB115" s="16">
        <f>1/(1 + discountrate)^(AB91-1)</f>
        <v>7.3005597962125815E-2</v>
      </c>
      <c r="AC115" s="16">
        <f>1/(1 + discountrate)^(AC91-1)</f>
        <v>6.546301485369764E-2</v>
      </c>
      <c r="AD115" s="16">
        <f>1/(1 + discountrate)^(AD91-1)</f>
        <v>5.8699694726952863E-2</v>
      </c>
      <c r="AE115" s="16">
        <f>1/(1 + discountrate)^(AE91-1)</f>
        <v>5.2635127922814134E-2</v>
      </c>
      <c r="AF115" s="16">
        <f>1/(1 + discountrate)^(AF91-1)</f>
        <v>4.7197122648389364E-2</v>
      </c>
      <c r="AG115" s="16">
        <f>1/(1 + discountrate)^(AG91-1)</f>
        <v>4.2320945615515311E-2</v>
      </c>
      <c r="AH115" s="16">
        <f>1/(1 + discountrate)^(AH91-1)</f>
        <v>3.7948551464344948E-2</v>
      </c>
      <c r="AI115" s="16">
        <f>1/(1 + discountrate)^(AI91-1)</f>
        <v>3.4027891799139856E-2</v>
      </c>
      <c r="AJ115" s="16">
        <f>1/(1 + discountrate)^(AJ91-1)</f>
        <v>3.0512295611121992E-2</v>
      </c>
      <c r="AK115" s="16">
        <f>1/(1 + discountrate)^(AK91-1)</f>
        <v>2.7359913713021381E-2</v>
      </c>
      <c r="AL115" s="16">
        <f>1/(1 + discountrate)^(AL91-1)</f>
        <v>2.4533220571942717E-2</v>
      </c>
      <c r="AM115" s="16">
        <f>1/(1 + discountrate)^(AM91-1)</f>
        <v>2.19985676104359E-2</v>
      </c>
      <c r="AN115" s="16">
        <f>1/(1 + discountrate)^(AN91-1)</f>
        <v>1.9725782658326217E-2</v>
      </c>
      <c r="AO115" s="16">
        <f>1/(1 + discountrate)^(AO91-1)</f>
        <v>1.7687810787232118E-2</v>
      </c>
      <c r="AP115" s="16">
        <f>1/(1 + discountrate)^(AP91-1)</f>
        <v>1.586039225231288E-2</v>
      </c>
      <c r="AQ115" s="16">
        <f>1/(1 + discountrate)^(AQ91-1)</f>
        <v>1.4221773707507568E-2</v>
      </c>
    </row>
    <row r="116" spans="1:43" x14ac:dyDescent="0.3">
      <c r="A116" t="s">
        <v>106</v>
      </c>
      <c r="D116" s="16">
        <f>D101/(1+discountrate)^(D91-1)</f>
        <v>15.032729513518593</v>
      </c>
      <c r="E116" s="16">
        <f>E101/(1+discountrate)^(E91-1)</f>
        <v>12.920063792076272</v>
      </c>
      <c r="F116" s="16">
        <f>F101/(1+discountrate)^(F91-1)</f>
        <v>11.088066368881822</v>
      </c>
      <c r="G116" s="16">
        <f>G101/(1+discountrate)^(G91-1)</f>
        <v>9.5010250430231462</v>
      </c>
      <c r="H116" s="16">
        <f>H101/(1+discountrate)^(H91-1)</f>
        <v>8.1276266654369831</v>
      </c>
      <c r="I116" s="16">
        <f>I101/(1+discountrate)^(I91-1)</f>
        <v>6.9404284368135931</v>
      </c>
      <c r="J116" s="16">
        <f>J101/(1+discountrate)^(J91-1)</f>
        <v>5.9153915494576879</v>
      </c>
      <c r="K116" s="16">
        <f>K101/(1+discountrate)^(K91-1)</f>
        <v>5.0314699311945281</v>
      </c>
      <c r="L116" s="16">
        <f>L101/(1+discountrate)^(L91-1)</f>
        <v>4.4244969737651534</v>
      </c>
      <c r="M116" s="16">
        <f>M101/(1+discountrate)^(M91-1)</f>
        <v>4.0305585396374655</v>
      </c>
      <c r="N116" s="16">
        <f>N101/(1+discountrate)^(N91-1)</f>
        <v>3.6736251396803445</v>
      </c>
      <c r="O116" s="16">
        <f>O101/(1+discountrate)^(O91-1)</f>
        <v>3.3500896671536275</v>
      </c>
      <c r="P116" s="16">
        <f>P101/(1+discountrate)^(P91-1)</f>
        <v>3.0567050478724704</v>
      </c>
      <c r="Q116" s="16">
        <f>Q101/(1+discountrate)^(Q91-1)</f>
        <v>2.7905477823696381</v>
      </c>
      <c r="R116" s="16">
        <f>R101/(1+discountrate)^(R91-1)</f>
        <v>2.5489852114883367</v>
      </c>
      <c r="S116" s="16">
        <f>S101/(1+discountrate)^(S91-1)</f>
        <v>2.213109868683552</v>
      </c>
      <c r="T116" s="16">
        <f>T101/(1+discountrate)^(T91-1)</f>
        <v>2.0258980622946949</v>
      </c>
      <c r="U116" s="16">
        <f>U101/(1+discountrate)^(U91-1)</f>
        <v>1.3274819350551648</v>
      </c>
      <c r="V116" s="16">
        <f>V101/(1+discountrate)^(V91-1)</f>
        <v>1.2270641876811781</v>
      </c>
      <c r="W116" s="16">
        <f>W101/(1+discountrate)^(W91-1)</f>
        <v>1.1348730384893615</v>
      </c>
      <c r="X116" s="16">
        <f>X101/(1+discountrate)^(X91-1)</f>
        <v>1.0501841767163502</v>
      </c>
      <c r="Y116" s="16">
        <f>Y101/(1+discountrate)^(Y91-1)</f>
        <v>0.97234077741503178</v>
      </c>
      <c r="Z116" s="16">
        <f>Z101/(1+discountrate)^(Z91-1)</f>
        <v>0.90074695877518507</v>
      </c>
      <c r="AA116" s="16">
        <f>AA101/(1+discountrate)^(AA91-1)</f>
        <v>0.83486189027695923</v>
      </c>
      <c r="AB116" s="16">
        <f>AB101/(1+discountrate)^(AB91-1)</f>
        <v>0.77419448590563333</v>
      </c>
      <c r="AC116" s="16">
        <f>AC101/(1+discountrate)^(AC91-1)</f>
        <v>0.71829862336538342</v>
      </c>
      <c r="AD116" s="16">
        <f>AD101/(1+discountrate)^(AD91-1)</f>
        <v>0.66676883625088779</v>
      </c>
      <c r="AE116" s="16">
        <f>AE101/(1+discountrate)^(AE91-1)</f>
        <v>0.61923643153940722</v>
      </c>
      <c r="AF116" s="16">
        <f>AF101/(1+discountrate)^(AF91-1)</f>
        <v>0.57536598961590246</v>
      </c>
      <c r="AG116" s="16">
        <f>AG101/(1+discountrate)^(AG91-1)</f>
        <v>0.53485220839682956</v>
      </c>
      <c r="AH116" s="16">
        <f>AH101/(1+discountrate)^(AH91-1)</f>
        <v>0.49741705702552319</v>
      </c>
      <c r="AI116" s="16">
        <f>AI101/(1+discountrate)^(AI91-1)</f>
        <v>0.46280720811940268</v>
      </c>
      <c r="AJ116" s="16">
        <f>AJ101/(1+discountrate)^(AJ91-1)</f>
        <v>0.43079172069767885</v>
      </c>
      <c r="AK116" s="16">
        <f>AK101/(1+discountrate)^(AK91-1)</f>
        <v>0.40115994874471878</v>
      </c>
      <c r="AL116" s="16">
        <f>AL101/(1+discountrate)^(AL91-1)</f>
        <v>0.37371965290177672</v>
      </c>
      <c r="AM116" s="16">
        <f>AM101/(1+discountrate)^(AM91-1)</f>
        <v>0.34829529505810558</v>
      </c>
      <c r="AN116" s="16">
        <f>AN101/(1+discountrate)^(AN91-1)</f>
        <v>0.32472649765814465</v>
      </c>
      <c r="AO116" s="16">
        <f>AO101/(1+discountrate)^(AO91-1)</f>
        <v>0.30286665137838736</v>
      </c>
      <c r="AP116" s="16">
        <f>AP101/(1+discountrate)^(AP91-1)</f>
        <v>0.28258165647711464</v>
      </c>
      <c r="AQ116" s="16">
        <f>AQ101/(1+discountrate)^(AQ91-1)</f>
        <v>0.26374878460161449</v>
      </c>
    </row>
    <row r="117" spans="1:43" x14ac:dyDescent="0.3">
      <c r="A117" t="s">
        <v>108</v>
      </c>
      <c r="D117" s="16">
        <f>SUM(D116:AQ116)/SUM(D115:AQ115)</f>
        <v>12.316764393174601</v>
      </c>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row>
    <row r="118" spans="1:43" x14ac:dyDescent="0.3">
      <c r="D118" s="13"/>
      <c r="E118" s="8"/>
    </row>
    <row r="119" spans="1:43" x14ac:dyDescent="0.3">
      <c r="A119" t="s">
        <v>103</v>
      </c>
    </row>
    <row r="120" spans="1:43" x14ac:dyDescent="0.3">
      <c r="A120" t="s">
        <v>94</v>
      </c>
      <c r="D120" s="8">
        <f>D105-D92</f>
        <v>-2.976798804343872E-6</v>
      </c>
      <c r="E120" s="8">
        <f>E105-E92</f>
        <v>-2.976798804343872E-6</v>
      </c>
      <c r="F120" s="8">
        <f>F105-F92</f>
        <v>-2.976798804343872E-6</v>
      </c>
      <c r="G120" s="8">
        <f>G105-G92</f>
        <v>-2.976798804343872E-6</v>
      </c>
      <c r="H120" s="8">
        <f>H105-H92</f>
        <v>-2.976798804343872E-6</v>
      </c>
      <c r="I120" s="8">
        <f>I105-I92</f>
        <v>-2.976798804343872E-6</v>
      </c>
      <c r="J120" s="8">
        <f>J105-J92</f>
        <v>-2.976798804343872E-6</v>
      </c>
      <c r="K120" s="8">
        <f>K105-K92</f>
        <v>-2.976798804343872E-6</v>
      </c>
      <c r="L120" s="8">
        <f>L105-L92</f>
        <v>-2.976798804343872E-6</v>
      </c>
      <c r="M120" s="8">
        <f>M105-M92</f>
        <v>-2.976798804343872E-6</v>
      </c>
      <c r="N120" s="8">
        <f>N105-N92</f>
        <v>-2.976798804343872E-6</v>
      </c>
      <c r="O120" s="8">
        <f>O105-O92</f>
        <v>-2.976798804343872E-6</v>
      </c>
      <c r="P120" s="8">
        <f>P105-P92</f>
        <v>-2.976798804343872E-6</v>
      </c>
      <c r="Q120" s="8">
        <f>Q105-Q92</f>
        <v>-2.976798804343872E-6</v>
      </c>
      <c r="R120" s="8">
        <f>R105-R92</f>
        <v>-2.976798804343872E-6</v>
      </c>
      <c r="S120" s="8">
        <f>S105-S92</f>
        <v>-2.976798804343872E-6</v>
      </c>
      <c r="T120" s="8">
        <f>T105-T92</f>
        <v>-2.976798804343872E-6</v>
      </c>
      <c r="U120" s="8">
        <f>U105-U92</f>
        <v>-2.976798804343872E-6</v>
      </c>
      <c r="V120" s="8">
        <f>V105-V92</f>
        <v>-2.976798804343872E-6</v>
      </c>
      <c r="W120" s="8">
        <f>W105-W92</f>
        <v>-2.976798804343872E-6</v>
      </c>
      <c r="X120" s="8">
        <f>X105-X92</f>
        <v>-2.976798804343872E-6</v>
      </c>
      <c r="Y120" s="8">
        <f>Y105-Y92</f>
        <v>-2.976798804343872E-6</v>
      </c>
      <c r="Z120" s="8">
        <f>Z105-Z92</f>
        <v>-2.976798804343872E-6</v>
      </c>
      <c r="AA120" s="8">
        <f>AA105-AA92</f>
        <v>-2.976798804343872E-6</v>
      </c>
      <c r="AB120" s="8">
        <f>AB105-AB92</f>
        <v>-2.976798804343872E-6</v>
      </c>
      <c r="AC120" s="8">
        <f>AC105-AC92</f>
        <v>-2.976798804343872E-6</v>
      </c>
      <c r="AD120" s="8">
        <f>AD105-AD92</f>
        <v>-2.976798804343872E-6</v>
      </c>
      <c r="AE120" s="8">
        <f>AE105-AE92</f>
        <v>-2.976798804343872E-6</v>
      </c>
      <c r="AF120" s="8">
        <f>AF105-AF92</f>
        <v>-2.976798804343872E-6</v>
      </c>
      <c r="AG120" s="8">
        <f>AG105-AG92</f>
        <v>-2.976798804343872E-6</v>
      </c>
      <c r="AH120" s="8">
        <f>AH105-AH92</f>
        <v>-2.976798804343872E-6</v>
      </c>
      <c r="AI120" s="8">
        <f>AI105-AI92</f>
        <v>-2.976798804343872E-6</v>
      </c>
      <c r="AJ120" s="8">
        <f>AJ105-AJ92</f>
        <v>-2.976798804343872E-6</v>
      </c>
      <c r="AK120" s="8">
        <f>AK105-AK92</f>
        <v>-2.976798804343872E-6</v>
      </c>
      <c r="AL120" s="8">
        <f>AL105-AL92</f>
        <v>-2.976798804343872E-6</v>
      </c>
      <c r="AM120" s="8">
        <f>AM105-AM92</f>
        <v>-2.976798804343872E-6</v>
      </c>
      <c r="AN120" s="8">
        <f>AN105-AN92</f>
        <v>-2.976798804343872E-6</v>
      </c>
      <c r="AO120" s="8">
        <f>AO105-AO92</f>
        <v>-2.976798804343872E-6</v>
      </c>
      <c r="AP120" s="8">
        <f>AP105-AP92</f>
        <v>-2.976798804343872E-6</v>
      </c>
      <c r="AQ120" s="8">
        <f>AQ105-AQ92</f>
        <v>-2.976798804343872E-6</v>
      </c>
    </row>
    <row r="121" spans="1:43" x14ac:dyDescent="0.3">
      <c r="A121" t="s">
        <v>95</v>
      </c>
      <c r="D121" s="8">
        <f>D106-D95</f>
        <v>4.5444944190009551E-6</v>
      </c>
      <c r="E121" s="8">
        <f>E106-E95</f>
        <v>3.9385618304521586E-6</v>
      </c>
      <c r="F121" s="8">
        <f>F106-F95</f>
        <v>3.3326292405710944E-6</v>
      </c>
      <c r="G121" s="8">
        <f>G106-G95</f>
        <v>2.7266966515782087E-6</v>
      </c>
      <c r="H121" s="8">
        <f>H106-H95</f>
        <v>2.1207640621412338E-6</v>
      </c>
      <c r="I121" s="8">
        <f>I106-I95</f>
        <v>1.5148314724822143E-6</v>
      </c>
      <c r="J121" s="8">
        <f>J106-J95</f>
        <v>9.0889888371137317E-7</v>
      </c>
      <c r="K121" s="8">
        <f>K106-K95</f>
        <v>3.0296629460746516E-7</v>
      </c>
      <c r="L121" s="8">
        <f>L106-L95</f>
        <v>0</v>
      </c>
      <c r="M121" s="8">
        <f>M106-M95</f>
        <v>0</v>
      </c>
      <c r="N121" s="8">
        <f>N106-N95</f>
        <v>0</v>
      </c>
      <c r="O121" s="8">
        <f>O106-O95</f>
        <v>0</v>
      </c>
      <c r="P121" s="8">
        <f>P106-P95</f>
        <v>0</v>
      </c>
      <c r="Q121" s="8">
        <f>Q106-Q95</f>
        <v>0</v>
      </c>
      <c r="R121" s="8">
        <f>R106-R95</f>
        <v>0</v>
      </c>
      <c r="S121" s="8">
        <f>S106-S95</f>
        <v>0</v>
      </c>
      <c r="T121" s="8">
        <f>T106-T95</f>
        <v>0</v>
      </c>
      <c r="U121" s="8">
        <f>U106-U95</f>
        <v>0</v>
      </c>
      <c r="V121" s="8">
        <f>V106-V95</f>
        <v>0</v>
      </c>
      <c r="W121" s="8">
        <f>W106-W95</f>
        <v>0</v>
      </c>
      <c r="X121" s="8">
        <f>X106-X95</f>
        <v>0</v>
      </c>
      <c r="Y121" s="8">
        <f>Y106-Y95</f>
        <v>0</v>
      </c>
      <c r="Z121" s="8">
        <f>Z106-Z95</f>
        <v>0</v>
      </c>
      <c r="AA121" s="8">
        <f>AA106-AA95</f>
        <v>0</v>
      </c>
      <c r="AB121" s="8">
        <f>AB106-AB95</f>
        <v>0</v>
      </c>
      <c r="AC121" s="8">
        <f>AC106-AC95</f>
        <v>0</v>
      </c>
      <c r="AD121" s="8">
        <f>AD106-AD95</f>
        <v>0</v>
      </c>
      <c r="AE121" s="8">
        <f>AE106-AE95</f>
        <v>0</v>
      </c>
      <c r="AF121" s="8">
        <f>AF106-AF95</f>
        <v>0</v>
      </c>
      <c r="AG121" s="8">
        <f>AG106-AG95</f>
        <v>0</v>
      </c>
      <c r="AH121" s="8">
        <f>AH106-AH95</f>
        <v>0</v>
      </c>
      <c r="AI121" s="8">
        <f>AI106-AI95</f>
        <v>0</v>
      </c>
      <c r="AJ121" s="8">
        <f>AJ106-AJ95</f>
        <v>0</v>
      </c>
      <c r="AK121" s="8">
        <f>AK106-AK95</f>
        <v>0</v>
      </c>
      <c r="AL121" s="8">
        <f>AL106-AL95</f>
        <v>0</v>
      </c>
      <c r="AM121" s="8">
        <f>AM106-AM95</f>
        <v>0</v>
      </c>
      <c r="AN121" s="8">
        <f>AN106-AN95</f>
        <v>0</v>
      </c>
      <c r="AO121" s="8">
        <f>AO106-AO95</f>
        <v>0</v>
      </c>
      <c r="AP121" s="8">
        <f>AP106-AP95</f>
        <v>0</v>
      </c>
      <c r="AQ121" s="8">
        <f>AQ106-AQ95</f>
        <v>0</v>
      </c>
    </row>
    <row r="122" spans="1:43" x14ac:dyDescent="0.3">
      <c r="A122" t="s">
        <v>96</v>
      </c>
      <c r="D122" s="8">
        <f>D107-D98</f>
        <v>1.0036188062834128E-6</v>
      </c>
      <c r="E122" s="8">
        <f>E107-E98</f>
        <v>1.0036188062834128E-6</v>
      </c>
      <c r="F122" s="8">
        <f>F107-F98</f>
        <v>1.0036188062834128E-6</v>
      </c>
      <c r="G122" s="8">
        <f>G107-G98</f>
        <v>1.0036188062834128E-6</v>
      </c>
      <c r="H122" s="8">
        <f>H107-H98</f>
        <v>1.0036188062834128E-6</v>
      </c>
      <c r="I122" s="8">
        <f>I107-I98</f>
        <v>1.0036188062834128E-6</v>
      </c>
      <c r="J122" s="8">
        <f>J107-J98</f>
        <v>1.0036188062834128E-6</v>
      </c>
      <c r="K122" s="8">
        <f>K107-K98</f>
        <v>1.0036188062834128E-6</v>
      </c>
      <c r="L122" s="8">
        <f>L107-L98</f>
        <v>1.0036188062834128E-6</v>
      </c>
      <c r="M122" s="8">
        <f>M107-M98</f>
        <v>1.0036188062834128E-6</v>
      </c>
      <c r="N122" s="8">
        <f>N107-N98</f>
        <v>1.0036188062834128E-6</v>
      </c>
      <c r="O122" s="8">
        <f>O107-O98</f>
        <v>1.0036188062834128E-6</v>
      </c>
      <c r="P122" s="8">
        <f>P107-P98</f>
        <v>1.0036188062834128E-6</v>
      </c>
      <c r="Q122" s="8">
        <f>Q107-Q98</f>
        <v>1.0036188062834128E-6</v>
      </c>
      <c r="R122" s="8">
        <f>R107-R98</f>
        <v>1.0036188062834128E-6</v>
      </c>
      <c r="S122" s="8">
        <f>S107-S98</f>
        <v>1.0036188062834128E-6</v>
      </c>
      <c r="T122" s="8">
        <f>T107-T98</f>
        <v>1.0036188062834128E-6</v>
      </c>
      <c r="U122" s="8">
        <f>U107-U98</f>
        <v>0</v>
      </c>
      <c r="V122" s="8">
        <f>V107-V98</f>
        <v>0</v>
      </c>
      <c r="W122" s="8">
        <f>W107-W98</f>
        <v>0</v>
      </c>
      <c r="X122" s="8">
        <f>X107-X98</f>
        <v>0</v>
      </c>
      <c r="Y122" s="8">
        <f>Y107-Y98</f>
        <v>0</v>
      </c>
      <c r="Z122" s="8">
        <f>Z107-Z98</f>
        <v>0</v>
      </c>
      <c r="AA122" s="8">
        <f>AA107-AA98</f>
        <v>0</v>
      </c>
      <c r="AB122" s="8">
        <f>AB107-AB98</f>
        <v>0</v>
      </c>
      <c r="AC122" s="8">
        <f>AC107-AC98</f>
        <v>0</v>
      </c>
      <c r="AD122" s="8">
        <f>AD107-AD98</f>
        <v>0</v>
      </c>
      <c r="AE122" s="8">
        <f>AE107-AE98</f>
        <v>0</v>
      </c>
      <c r="AF122" s="8">
        <f>AF107-AF98</f>
        <v>0</v>
      </c>
      <c r="AG122" s="8">
        <f>AG107-AG98</f>
        <v>0</v>
      </c>
      <c r="AH122" s="8">
        <f>AH107-AH98</f>
        <v>0</v>
      </c>
      <c r="AI122" s="8">
        <f>AI107-AI98</f>
        <v>0</v>
      </c>
      <c r="AJ122" s="8">
        <f>AJ107-AJ98</f>
        <v>0</v>
      </c>
      <c r="AK122" s="8">
        <f>AK107-AK98</f>
        <v>0</v>
      </c>
      <c r="AL122" s="8">
        <f>AL107-AL98</f>
        <v>0</v>
      </c>
      <c r="AM122" s="8">
        <f>AM107-AM98</f>
        <v>0</v>
      </c>
      <c r="AN122" s="8">
        <f>AN107-AN98</f>
        <v>0</v>
      </c>
      <c r="AO122" s="8">
        <f>AO107-AO98</f>
        <v>0</v>
      </c>
      <c r="AP122" s="8">
        <f>AP107-AP98</f>
        <v>0</v>
      </c>
      <c r="AQ122" s="8">
        <f>AQ107-AQ98</f>
        <v>0</v>
      </c>
    </row>
    <row r="123" spans="1:43" x14ac:dyDescent="0.3">
      <c r="A123" t="s">
        <v>97</v>
      </c>
      <c r="D123" s="8">
        <f>D108-D99</f>
        <v>3.8015863879081735E-7</v>
      </c>
      <c r="E123" s="8">
        <f>E108-E99</f>
        <v>3.991665706859493E-7</v>
      </c>
      <c r="F123" s="8">
        <f>F108-F99</f>
        <v>4.1912489923134899E-7</v>
      </c>
      <c r="G123" s="8">
        <f>G108-G99</f>
        <v>4.4008114419291644E-7</v>
      </c>
      <c r="H123" s="8">
        <f>H108-H99</f>
        <v>4.6208520143586895E-7</v>
      </c>
      <c r="I123" s="8">
        <f>I108-I99</f>
        <v>4.8518946171860478E-7</v>
      </c>
      <c r="J123" s="8">
        <f>J108-J99</f>
        <v>5.0944893481563724E-7</v>
      </c>
      <c r="K123" s="8">
        <f>K108-K99</f>
        <v>5.3492138163413472E-7</v>
      </c>
      <c r="L123" s="8">
        <f>L108-L99</f>
        <v>5.6166745077135261E-7</v>
      </c>
      <c r="M123" s="8">
        <f>M108-M99</f>
        <v>5.8975082328771578E-7</v>
      </c>
      <c r="N123" s="8">
        <f>N108-N99</f>
        <v>6.1923836458532833E-7</v>
      </c>
      <c r="O123" s="8">
        <f>O108-O99</f>
        <v>6.5020028294782151E-7</v>
      </c>
      <c r="P123" s="8">
        <f>P108-P99</f>
        <v>6.8271029718403042E-7</v>
      </c>
      <c r="Q123" s="8">
        <f>Q108-Q99</f>
        <v>7.1684581204323194E-7</v>
      </c>
      <c r="R123" s="8">
        <f>R108-R99</f>
        <v>7.526881034003452E-7</v>
      </c>
      <c r="S123" s="8">
        <f>S108-S99</f>
        <v>7.9032250832611339E-7</v>
      </c>
      <c r="T123" s="8">
        <f>T108-T99</f>
        <v>8.2983863336494323E-7</v>
      </c>
      <c r="U123" s="8">
        <f>U108-U99</f>
        <v>8.7133056547727961E-7</v>
      </c>
      <c r="V123" s="8">
        <f>V108-V99</f>
        <v>9.1489709319603207E-7</v>
      </c>
      <c r="W123" s="8">
        <f>W108-W99</f>
        <v>9.6064194821110505E-7</v>
      </c>
      <c r="X123" s="8">
        <f>X108-X99</f>
        <v>1.0086740456216603E-6</v>
      </c>
      <c r="Y123" s="8">
        <f>Y108-Y99</f>
        <v>1.0591077481691968E-6</v>
      </c>
      <c r="Z123" s="8">
        <f>Z108-Z99</f>
        <v>1.1120631353556121E-6</v>
      </c>
      <c r="AA123" s="8">
        <f>AA108-AA99</f>
        <v>1.1676662921011882E-6</v>
      </c>
      <c r="AB123" s="8">
        <f>AB108-AB99</f>
        <v>1.2260496067284521E-6</v>
      </c>
      <c r="AC123" s="8">
        <f>AC108-AC99</f>
        <v>1.2873520871536925E-6</v>
      </c>
      <c r="AD123" s="8">
        <f>AD108-AD99</f>
        <v>1.3517196917334218E-6</v>
      </c>
      <c r="AE123" s="8">
        <f>AE108-AE99</f>
        <v>1.419305675653959E-6</v>
      </c>
      <c r="AF123" s="8">
        <f>AF108-AF99</f>
        <v>1.490270959969564E-6</v>
      </c>
      <c r="AG123" s="8">
        <f>AG108-AG99</f>
        <v>1.5647845081900869E-6</v>
      </c>
      <c r="AH123" s="8">
        <f>AH108-AH99</f>
        <v>1.6430237339548626E-6</v>
      </c>
      <c r="AI123" s="8">
        <f>AI108-AI99</f>
        <v>1.7251749202529254E-6</v>
      </c>
      <c r="AJ123" s="8">
        <f>AJ108-AJ99</f>
        <v>1.8114336652885754E-6</v>
      </c>
      <c r="AK123" s="8">
        <f>AK108-AK99</f>
        <v>1.9020053478868704E-6</v>
      </c>
      <c r="AL123" s="8">
        <f>AL108-AL99</f>
        <v>1.9971056151035782E-6</v>
      </c>
      <c r="AM123" s="8">
        <f>AM108-AM99</f>
        <v>2.096960896480482E-6</v>
      </c>
      <c r="AN123" s="8">
        <f>AN108-AN99</f>
        <v>2.2018089405051455E-6</v>
      </c>
      <c r="AO123" s="8">
        <f>AO108-AO99</f>
        <v>2.3118993883741723E-6</v>
      </c>
      <c r="AP123" s="8">
        <f>AP108-AP99</f>
        <v>2.4274943584146058E-6</v>
      </c>
      <c r="AQ123" s="8">
        <f>AQ108-AQ99</f>
        <v>2.5488690749142506E-6</v>
      </c>
    </row>
    <row r="124" spans="1:43" x14ac:dyDescent="0.3">
      <c r="A124" t="s">
        <v>98</v>
      </c>
      <c r="D124" s="8">
        <f>D109-D93</f>
        <v>0</v>
      </c>
      <c r="E124" s="8">
        <f>E109-E93</f>
        <v>0</v>
      </c>
      <c r="F124" s="8">
        <f>F109-F93</f>
        <v>0</v>
      </c>
      <c r="G124" s="8">
        <f>G109-G93</f>
        <v>0</v>
      </c>
      <c r="H124" s="8">
        <f>H109-H93</f>
        <v>0</v>
      </c>
      <c r="I124" s="8">
        <f>I109-I93</f>
        <v>8.8817841970012523E-16</v>
      </c>
      <c r="J124" s="8">
        <f>J109-J93</f>
        <v>0</v>
      </c>
      <c r="K124" s="8">
        <f>K109-K93</f>
        <v>0</v>
      </c>
      <c r="L124" s="8">
        <f>L109-L93</f>
        <v>0</v>
      </c>
      <c r="M124" s="8">
        <f>M109-M93</f>
        <v>0</v>
      </c>
      <c r="N124" s="8">
        <f>N109-N93</f>
        <v>0</v>
      </c>
      <c r="O124" s="8">
        <f>O109-O93</f>
        <v>0</v>
      </c>
      <c r="P124" s="8">
        <f>P109-P93</f>
        <v>0</v>
      </c>
      <c r="Q124" s="8">
        <f>Q109-Q93</f>
        <v>0</v>
      </c>
      <c r="R124" s="8">
        <f>R109-R93</f>
        <v>0</v>
      </c>
      <c r="S124" s="8">
        <f>S109-S93</f>
        <v>0</v>
      </c>
      <c r="T124" s="8">
        <f>T109-T93</f>
        <v>0</v>
      </c>
      <c r="U124" s="8">
        <f>U109-U93</f>
        <v>0</v>
      </c>
      <c r="V124" s="8">
        <f>V109-V93</f>
        <v>0</v>
      </c>
      <c r="W124" s="8">
        <f>W109-W93</f>
        <v>0</v>
      </c>
      <c r="X124" s="8">
        <f>X109-X93</f>
        <v>0</v>
      </c>
      <c r="Y124" s="8">
        <f>Y109-Y93</f>
        <v>0</v>
      </c>
      <c r="Z124" s="8">
        <f>Z109-Z93</f>
        <v>0</v>
      </c>
      <c r="AA124" s="8">
        <f>AA109-AA93</f>
        <v>0</v>
      </c>
      <c r="AB124" s="8">
        <f>AB109-AB93</f>
        <v>0</v>
      </c>
      <c r="AC124" s="8">
        <f>AC109-AC93</f>
        <v>0</v>
      </c>
      <c r="AD124" s="8">
        <f>AD109-AD93</f>
        <v>0</v>
      </c>
      <c r="AE124" s="8">
        <f>AE109-AE93</f>
        <v>0</v>
      </c>
      <c r="AF124" s="8">
        <f>AF109-AF93</f>
        <v>0</v>
      </c>
      <c r="AG124" s="8">
        <f>AG109-AG93</f>
        <v>3.5527136788005009E-15</v>
      </c>
      <c r="AH124" s="8">
        <f>AH109-AH93</f>
        <v>0</v>
      </c>
      <c r="AI124" s="8">
        <f>AI109-AI93</f>
        <v>0</v>
      </c>
      <c r="AJ124" s="8">
        <f>AJ109-AJ93</f>
        <v>0</v>
      </c>
      <c r="AK124" s="8">
        <f>AK109-AK93</f>
        <v>3.5527136788005009E-15</v>
      </c>
      <c r="AL124" s="8">
        <f>AL109-AL93</f>
        <v>0</v>
      </c>
      <c r="AM124" s="8">
        <f>AM109-AM93</f>
        <v>0</v>
      </c>
      <c r="AN124" s="8">
        <f>AN109-AN93</f>
        <v>0</v>
      </c>
      <c r="AO124" s="8">
        <f>AO109-AO93</f>
        <v>0</v>
      </c>
      <c r="AP124" s="8">
        <f>AP109-AP93</f>
        <v>0</v>
      </c>
      <c r="AQ124" s="8">
        <f>AQ109-AQ93</f>
        <v>0</v>
      </c>
    </row>
    <row r="125" spans="1:43" x14ac:dyDescent="0.3">
      <c r="A125" t="s">
        <v>99</v>
      </c>
      <c r="D125" s="8">
        <f>D110-D94</f>
        <v>0</v>
      </c>
      <c r="E125" s="8">
        <f>E110-E94</f>
        <v>0</v>
      </c>
      <c r="F125" s="8">
        <f>F110-F94</f>
        <v>0</v>
      </c>
      <c r="G125" s="8">
        <f>G110-G94</f>
        <v>0</v>
      </c>
      <c r="H125" s="8">
        <f>H110-H94</f>
        <v>0</v>
      </c>
      <c r="I125" s="8">
        <f>I110-I94</f>
        <v>0</v>
      </c>
      <c r="J125" s="8">
        <f>J110-J94</f>
        <v>0</v>
      </c>
      <c r="K125" s="8">
        <f>K110-K94</f>
        <v>0</v>
      </c>
      <c r="L125" s="8">
        <f>L110-L94</f>
        <v>0</v>
      </c>
      <c r="M125" s="8">
        <f>M110-M94</f>
        <v>0</v>
      </c>
      <c r="N125" s="8">
        <f>N110-N94</f>
        <v>0</v>
      </c>
      <c r="O125" s="8">
        <f>O110-O94</f>
        <v>0</v>
      </c>
      <c r="P125" s="8">
        <f>P110-P94</f>
        <v>0</v>
      </c>
      <c r="Q125" s="8">
        <f>Q110-Q94</f>
        <v>0</v>
      </c>
      <c r="R125" s="8">
        <f>R110-R94</f>
        <v>0</v>
      </c>
      <c r="S125" s="8">
        <f>S110-S94</f>
        <v>0</v>
      </c>
      <c r="T125" s="8">
        <f>T110-T94</f>
        <v>0</v>
      </c>
      <c r="U125" s="8">
        <f>U110-U94</f>
        <v>0</v>
      </c>
      <c r="V125" s="8">
        <f>V110-V94</f>
        <v>0</v>
      </c>
      <c r="W125" s="8">
        <f>W110-W94</f>
        <v>0</v>
      </c>
      <c r="X125" s="8">
        <f>X110-X94</f>
        <v>0</v>
      </c>
      <c r="Y125" s="8">
        <f>Y110-Y94</f>
        <v>0</v>
      </c>
      <c r="Z125" s="8">
        <f>Z110-Z94</f>
        <v>0</v>
      </c>
      <c r="AA125" s="8">
        <f>AA110-AA94</f>
        <v>0</v>
      </c>
      <c r="AB125" s="8">
        <f>AB110-AB94</f>
        <v>0</v>
      </c>
      <c r="AC125" s="8">
        <f>AC110-AC94</f>
        <v>0</v>
      </c>
      <c r="AD125" s="8">
        <f>AD110-AD94</f>
        <v>0</v>
      </c>
      <c r="AE125" s="8">
        <f>AE110-AE94</f>
        <v>0</v>
      </c>
      <c r="AF125" s="8">
        <f>AF110-AF94</f>
        <v>0</v>
      </c>
      <c r="AG125" s="8">
        <f>AG110-AG94</f>
        <v>0</v>
      </c>
      <c r="AH125" s="8">
        <f>AH110-AH94</f>
        <v>0</v>
      </c>
      <c r="AI125" s="8">
        <f>AI110-AI94</f>
        <v>0</v>
      </c>
      <c r="AJ125" s="8">
        <f>AJ110-AJ94</f>
        <v>0</v>
      </c>
      <c r="AK125" s="8">
        <f>AK110-AK94</f>
        <v>0</v>
      </c>
      <c r="AL125" s="8">
        <f>AL110-AL94</f>
        <v>0</v>
      </c>
      <c r="AM125" s="8">
        <f>AM110-AM94</f>
        <v>0</v>
      </c>
      <c r="AN125" s="8">
        <f>AN110-AN94</f>
        <v>0</v>
      </c>
      <c r="AO125" s="8">
        <f>AO110-AO94</f>
        <v>0</v>
      </c>
      <c r="AP125" s="8">
        <f>AP110-AP94</f>
        <v>0</v>
      </c>
      <c r="AQ125" s="8">
        <f>AQ110-AQ94</f>
        <v>0</v>
      </c>
    </row>
    <row r="126" spans="1:43" x14ac:dyDescent="0.3">
      <c r="A126" t="s">
        <v>100</v>
      </c>
      <c r="D126" s="8">
        <f>D111-D96</f>
        <v>4.9420623260409968E-8</v>
      </c>
      <c r="E126" s="8">
        <f>E111-E96</f>
        <v>5.1891654195834747E-8</v>
      </c>
      <c r="F126" s="8">
        <f>F111-F96</f>
        <v>5.4486236855666448E-8</v>
      </c>
      <c r="G126" s="8">
        <f>G111-G96</f>
        <v>5.7210548853880994E-8</v>
      </c>
      <c r="H126" s="8">
        <f>H111-H96</f>
        <v>6.0071076224410547E-8</v>
      </c>
      <c r="I126" s="8">
        <f>I111-I96</f>
        <v>6.3074630185511182E-8</v>
      </c>
      <c r="J126" s="8">
        <f>J111-J96</f>
        <v>6.6228361572662209E-8</v>
      </c>
      <c r="K126" s="8">
        <f>K111-K96</f>
        <v>6.9539779601335283E-8</v>
      </c>
      <c r="L126" s="8">
        <f>L111-L96</f>
        <v>7.3016768742384386E-8</v>
      </c>
      <c r="M126" s="8">
        <f>M111-M96</f>
        <v>7.6667607040725727E-8</v>
      </c>
      <c r="N126" s="8">
        <f>N111-N96</f>
        <v>8.0500987320597517E-8</v>
      </c>
      <c r="O126" s="8">
        <f>O111-O96</f>
        <v>8.4526036725485199E-8</v>
      </c>
      <c r="P126" s="8">
        <f>P111-P96</f>
        <v>8.8752338589515034E-8</v>
      </c>
      <c r="Q126" s="8">
        <f>Q111-Q96</f>
        <v>9.3189955419070714E-8</v>
      </c>
      <c r="R126" s="8">
        <f>R111-R96</f>
        <v>9.7849453317699897E-8</v>
      </c>
      <c r="S126" s="8">
        <f>S111-S96</f>
        <v>1.0274192596693155E-7</v>
      </c>
      <c r="T126" s="8">
        <f>T111-T96</f>
        <v>1.0787902238185154E-7</v>
      </c>
      <c r="U126" s="8">
        <f>U111-U96</f>
        <v>1.1327297344543297E-7</v>
      </c>
      <c r="V126" s="8">
        <f>V111-V96</f>
        <v>1.1893662210660239E-7</v>
      </c>
      <c r="W126" s="8">
        <f>W111-W96</f>
        <v>1.248834532452392E-7</v>
      </c>
      <c r="X126" s="8">
        <f>X111-X96</f>
        <v>1.3112762575762105E-7</v>
      </c>
      <c r="Y126" s="8">
        <f>Y111-Y96</f>
        <v>1.3768400708435991E-7</v>
      </c>
      <c r="Z126" s="8">
        <f>Z111-Z96</f>
        <v>1.4456820762731581E-7</v>
      </c>
      <c r="AA126" s="8">
        <f>AA111-AA96</f>
        <v>1.5179661805309053E-7</v>
      </c>
      <c r="AB126" s="8">
        <f>AB111-AB96</f>
        <v>1.5938644892798948E-7</v>
      </c>
      <c r="AC126" s="8">
        <f>AC111-AC96</f>
        <v>1.6735577135218449E-7</v>
      </c>
      <c r="AD126" s="8">
        <f>AD111-AD96</f>
        <v>1.7572355992534483E-7</v>
      </c>
      <c r="AE126" s="8">
        <f>AE111-AE96</f>
        <v>1.845097377106697E-7</v>
      </c>
      <c r="AF126" s="8">
        <f>AF111-AF96</f>
        <v>1.9373522497367901E-7</v>
      </c>
      <c r="AG126" s="8">
        <f>AG111-AG96</f>
        <v>2.0342198614464735E-7</v>
      </c>
      <c r="AH126" s="8">
        <f>AH111-AH96</f>
        <v>2.1359308521873288E-7</v>
      </c>
      <c r="AI126" s="8">
        <f>AI111-AI96</f>
        <v>2.2427273949077176E-7</v>
      </c>
      <c r="AJ126" s="8">
        <f>AJ111-AJ96</f>
        <v>2.3548637662074157E-7</v>
      </c>
      <c r="AK126" s="8">
        <f>AK111-AK96</f>
        <v>2.472606952519385E-7</v>
      </c>
      <c r="AL126" s="8">
        <f>AL111-AL96</f>
        <v>2.5962372984800197E-7</v>
      </c>
      <c r="AM126" s="8">
        <f>AM111-AM96</f>
        <v>2.7260491686220689E-7</v>
      </c>
      <c r="AN126" s="8">
        <f>AN111-AN96</f>
        <v>2.8623516201697896E-7</v>
      </c>
      <c r="AO126" s="8">
        <f>AO111-AO96</f>
        <v>3.0054692046199705E-7</v>
      </c>
      <c r="AP126" s="8">
        <f>AP111-AP96</f>
        <v>3.1557426671824373E-7</v>
      </c>
      <c r="AQ126" s="8">
        <f>AQ111-AQ96</f>
        <v>3.3135297972108901E-7</v>
      </c>
    </row>
    <row r="157" spans="3:42" x14ac:dyDescent="0.3">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row>
    <row r="170" spans="1:41" x14ac:dyDescent="0.3">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row>
    <row r="171" spans="1:41" x14ac:dyDescent="0.3">
      <c r="A171" s="16"/>
    </row>
    <row r="172" spans="1:41" x14ac:dyDescent="0.3">
      <c r="A172" s="16"/>
    </row>
    <row r="173" spans="1:41" x14ac:dyDescent="0.3">
      <c r="A173" s="16"/>
    </row>
    <row r="174" spans="1:41" x14ac:dyDescent="0.3">
      <c r="A174" s="16"/>
    </row>
    <row r="175" spans="1:41" x14ac:dyDescent="0.3">
      <c r="A175" s="16"/>
    </row>
    <row r="176" spans="1:41" x14ac:dyDescent="0.3">
      <c r="A176" s="16"/>
    </row>
    <row r="177" spans="1:1" x14ac:dyDescent="0.3">
      <c r="A177" s="16"/>
    </row>
    <row r="178" spans="1:1" x14ac:dyDescent="0.3">
      <c r="A178" s="16"/>
    </row>
    <row r="179" spans="1:1" x14ac:dyDescent="0.3">
      <c r="A179" s="16"/>
    </row>
    <row r="180" spans="1:1" x14ac:dyDescent="0.3">
      <c r="A180" s="16"/>
    </row>
    <row r="181" spans="1:1" x14ac:dyDescent="0.3">
      <c r="A181" s="16"/>
    </row>
    <row r="182" spans="1:1" x14ac:dyDescent="0.3">
      <c r="A182" s="16"/>
    </row>
    <row r="183" spans="1:1" x14ac:dyDescent="0.3">
      <c r="A183" s="16"/>
    </row>
    <row r="184" spans="1:1" x14ac:dyDescent="0.3">
      <c r="A184" s="16"/>
    </row>
    <row r="185" spans="1:1" x14ac:dyDescent="0.3">
      <c r="A185" s="16"/>
    </row>
    <row r="186" spans="1:1" x14ac:dyDescent="0.3">
      <c r="A186" s="16"/>
    </row>
    <row r="187" spans="1:1" x14ac:dyDescent="0.3">
      <c r="A187" s="16"/>
    </row>
    <row r="188" spans="1:1" x14ac:dyDescent="0.3">
      <c r="A188" s="16"/>
    </row>
    <row r="189" spans="1:1" x14ac:dyDescent="0.3">
      <c r="A189" s="16"/>
    </row>
    <row r="190" spans="1:1" x14ac:dyDescent="0.3">
      <c r="A190" s="16"/>
    </row>
    <row r="191" spans="1:1" x14ac:dyDescent="0.3">
      <c r="A191" s="16"/>
    </row>
    <row r="192" spans="1:1" x14ac:dyDescent="0.3">
      <c r="A192" s="16"/>
    </row>
    <row r="193" spans="1:1" x14ac:dyDescent="0.3">
      <c r="A193" s="16"/>
    </row>
    <row r="194" spans="1:1" x14ac:dyDescent="0.3">
      <c r="A194" s="16"/>
    </row>
    <row r="195" spans="1:1" x14ac:dyDescent="0.3">
      <c r="A195" s="16"/>
    </row>
    <row r="196" spans="1:1" x14ac:dyDescent="0.3">
      <c r="A196" s="16"/>
    </row>
    <row r="197" spans="1:1" x14ac:dyDescent="0.3">
      <c r="A197" s="16"/>
    </row>
    <row r="198" spans="1:1" x14ac:dyDescent="0.3">
      <c r="A198" s="16"/>
    </row>
    <row r="199" spans="1:1" x14ac:dyDescent="0.3">
      <c r="A199" s="16"/>
    </row>
    <row r="200" spans="1:1" x14ac:dyDescent="0.3">
      <c r="A200" s="16"/>
    </row>
    <row r="201" spans="1:1" x14ac:dyDescent="0.3">
      <c r="A201" s="16"/>
    </row>
    <row r="202" spans="1:1" x14ac:dyDescent="0.3">
      <c r="A202" s="16"/>
    </row>
    <row r="203" spans="1:1" x14ac:dyDescent="0.3">
      <c r="A203" s="16"/>
    </row>
    <row r="204" spans="1:1" x14ac:dyDescent="0.3">
      <c r="A204" s="16"/>
    </row>
    <row r="205" spans="1:1" x14ac:dyDescent="0.3">
      <c r="A205" s="16"/>
    </row>
    <row r="206" spans="1:1" x14ac:dyDescent="0.3">
      <c r="A206" s="16"/>
    </row>
    <row r="207" spans="1:1" x14ac:dyDescent="0.3">
      <c r="A207" s="16"/>
    </row>
    <row r="208" spans="1:1" x14ac:dyDescent="0.3">
      <c r="A208" s="16"/>
    </row>
    <row r="209" spans="1:1" x14ac:dyDescent="0.3">
      <c r="A209" s="16"/>
    </row>
  </sheetData>
  <pageMargins left="0.75" right="0.75" top="1" bottom="1" header="0.5" footer="0.5"/>
  <pageSetup orientation="portrait" horizontalDpi="4294967292" verticalDpi="4294967292"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discountrate</vt:lpstr>
    </vt:vector>
  </TitlesOfParts>
  <Company>Princeton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 Ramana</dc:creator>
  <cp:lastModifiedBy>Suvrat Raju</cp:lastModifiedBy>
  <dcterms:created xsi:type="dcterms:W3CDTF">2013-01-15T03:23:47Z</dcterms:created>
  <dcterms:modified xsi:type="dcterms:W3CDTF">2013-05-16T23:42:44Z</dcterms:modified>
</cp:coreProperties>
</file>